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W:\PROCESSOS DE LICITAÇÃO\TOMADA DE PREÇO\Engenharia\GRADIL 2023\CENTRO COMUNITÁRIO\"/>
    </mc:Choice>
  </mc:AlternateContent>
  <bookViews>
    <workbookView xWindow="0" yWindow="0" windowWidth="28800" windowHeight="12210" activeTab="5"/>
  </bookViews>
  <sheets>
    <sheet name="PLANILHA ORÇAMENTÁRIA (2)" sheetId="23" r:id="rId1"/>
    <sheet name="PORTÃO 3,58 x 2,48" sheetId="22" r:id="rId2"/>
    <sheet name="PORTÃO 2,10 x 2,48" sheetId="24" r:id="rId3"/>
    <sheet name="PORTÃO 4,24 x 2,48" sheetId="25" r:id="rId4"/>
    <sheet name="GRADIL" sheetId="26" r:id="rId5"/>
    <sheet name="CRONOGRAMA FÍSICO-FINANCEIRO" sheetId="13" r:id="rId6"/>
    <sheet name="COMPOSIÇÃO DO BDI" sheetId="21" r:id="rId7"/>
    <sheet name="Memória de Cálculo" sheetId="27" r:id="rId8"/>
    <sheet name="INSTALAÇÕES ELÉTRICAS" sheetId="12" state="hidden" r:id="rId9"/>
    <sheet name="ALVENARIA" sheetId="7" state="hidden" r:id="rId10"/>
    <sheet name="DEMOLIÇÃO DE ALVENARIA" sheetId="2" state="hidden" r:id="rId11"/>
    <sheet name="REVESTIMENTOS E PINTURA" sheetId="5" state="hidden" r:id="rId12"/>
  </sheets>
  <definedNames>
    <definedName name="_xlnm.Print_Area" localSheetId="5">'CRONOGRAMA FÍSICO-FINANCEIRO'!$B$1:$H$33</definedName>
    <definedName name="_xlnm.Print_Area" localSheetId="4">GRADIL!$A$1:$G$44</definedName>
    <definedName name="_xlnm.Print_Area" localSheetId="0">'PLANILHA ORÇAMENTÁRIA (2)'!$A$1:$I$42</definedName>
    <definedName name="_xlnm.Print_Area" localSheetId="2">'PORTÃO 2,10 x 2,48'!$A$1:$G$44</definedName>
    <definedName name="_xlnm.Print_Area" localSheetId="1">'PORTÃO 3,58 x 2,48'!$A$1:$G$44</definedName>
    <definedName name="_xlnm.Print_Area" localSheetId="3">'PORTÃO 4,24 x 2,48'!$A$1:$G$44</definedName>
    <definedName name="_xlnm.Database" localSheetId="6">#REF!</definedName>
    <definedName name="_xlnm.Database" localSheetId="4">#REF!</definedName>
    <definedName name="_xlnm.Database" localSheetId="0">#REF!</definedName>
    <definedName name="_xlnm.Database" localSheetId="2">#REF!</definedName>
    <definedName name="_xlnm.Database" localSheetId="1">#REF!</definedName>
    <definedName name="_xlnm.Database" localSheetId="3">#REF!</definedName>
    <definedName name="_xlnm.Database">#REF!</definedName>
    <definedName name="Comp.export" localSheetId="6">#REF!</definedName>
    <definedName name="Comp.export" localSheetId="4">#REF!</definedName>
    <definedName name="Comp.export" localSheetId="0">#REF!</definedName>
    <definedName name="Comp.export" localSheetId="2">#REF!</definedName>
    <definedName name="Comp.export" localSheetId="1">#REF!</definedName>
    <definedName name="Comp.export" localSheetId="3">#REF!</definedName>
    <definedName name="Comp.export">#REF!</definedName>
    <definedName name="CONCATENAR" localSheetId="6">CONCATENATE(#REF!," ",#REF!)</definedName>
    <definedName name="CONCATENAR" localSheetId="4">CONCATENATE(#REF!," ",#REF!)</definedName>
    <definedName name="CONCATENAR" localSheetId="0">CONCATENATE(#REF!," ",#REF!)</definedName>
    <definedName name="CONCATENAR" localSheetId="2">CONCATENATE(#REF!," ",#REF!)</definedName>
    <definedName name="CONCATENAR" localSheetId="1">CONCATENATE(#REF!," ",#REF!)</definedName>
    <definedName name="CONCATENAR" localSheetId="3">CONCATENATE(#REF!," ",#REF!)</definedName>
    <definedName name="CONCATENAR">CONCATENATE(#REF!," ",#REF!)</definedName>
    <definedName name="CONTEM" localSheetId="6">#REF!</definedName>
    <definedName name="CONTEM" localSheetId="4">#REF!</definedName>
    <definedName name="CONTEM" localSheetId="0">#REF!</definedName>
    <definedName name="CONTEM" localSheetId="2">#REF!</definedName>
    <definedName name="CONTEM" localSheetId="1">#REF!</definedName>
    <definedName name="CONTEM" localSheetId="3">#REF!</definedName>
    <definedName name="CONTEM">#REF!</definedName>
    <definedName name="Cot.LP.Banco" localSheetId="6">#REF!</definedName>
    <definedName name="Cot.LP.Banco" localSheetId="4">#REF!</definedName>
    <definedName name="Cot.LP.Banco" localSheetId="0">#REF!</definedName>
    <definedName name="Cot.LP.Banco" localSheetId="2">#REF!</definedName>
    <definedName name="Cot.LP.Banco" localSheetId="1">#REF!</definedName>
    <definedName name="Cot.LP.Banco" localSheetId="3">#REF!</definedName>
    <definedName name="Cot.LP.Banco">#REF!</definedName>
    <definedName name="Cot.LP.Cot" localSheetId="4">#REF!</definedName>
    <definedName name="Cot.LP.Cot" localSheetId="0">#REF!</definedName>
    <definedName name="Cot.LP.Cot" localSheetId="2">#REF!</definedName>
    <definedName name="Cot.LP.Cot" localSheetId="1">#REF!</definedName>
    <definedName name="Cot.LP.Cot" localSheetId="3">#REF!</definedName>
    <definedName name="Cot.LP.Cot">#REF!</definedName>
    <definedName name="Cot.LP.Cotacao" localSheetId="4">#REF!</definedName>
    <definedName name="Cot.LP.Cotacao" localSheetId="0">#REF!</definedName>
    <definedName name="Cot.LP.Cotacao" localSheetId="2">#REF!</definedName>
    <definedName name="Cot.LP.Cotacao" localSheetId="1">#REF!</definedName>
    <definedName name="Cot.LP.Cotacao" localSheetId="3">#REF!</definedName>
    <definedName name="Cot.LP.Cotacao">#REF!</definedName>
    <definedName name="Cot.LP.Empresa" localSheetId="4">#REF!</definedName>
    <definedName name="Cot.LP.Empresa" localSheetId="0">#REF!</definedName>
    <definedName name="Cot.LP.Empresa" localSheetId="2">#REF!</definedName>
    <definedName name="Cot.LP.Empresa" localSheetId="1">#REF!</definedName>
    <definedName name="Cot.LP.Empresa" localSheetId="3">#REF!</definedName>
    <definedName name="Cot.LP.Empresa">#REF!</definedName>
    <definedName name="Cot.LP.Indice" localSheetId="4">#REF!</definedName>
    <definedName name="Cot.LP.Indice" localSheetId="0">#REF!</definedName>
    <definedName name="Cot.LP.Indice" localSheetId="2">#REF!</definedName>
    <definedName name="Cot.LP.Indice" localSheetId="1">#REF!</definedName>
    <definedName name="Cot.LP.Indice" localSheetId="3">#REF!</definedName>
    <definedName name="Cot.LP.Indice">#REF!</definedName>
    <definedName name="DATAEMISSAO" localSheetId="4">#REF!</definedName>
    <definedName name="DATAEMISSAO" localSheetId="0">#REF!</definedName>
    <definedName name="DATAEMISSAO" localSheetId="2">#REF!</definedName>
    <definedName name="DATAEMISSAO" localSheetId="1">#REF!</definedName>
    <definedName name="DATAEMISSAO" localSheetId="3">#REF!</definedName>
    <definedName name="DATAEMISSAO">#REF!</definedName>
    <definedName name="DATART" localSheetId="4">#REF!</definedName>
    <definedName name="DATART" localSheetId="0">#REF!</definedName>
    <definedName name="DATART" localSheetId="2">#REF!</definedName>
    <definedName name="DATART" localSheetId="1">#REF!</definedName>
    <definedName name="DATART" localSheetId="3">#REF!</definedName>
    <definedName name="DATART">#REF!</definedName>
    <definedName name="EMPRESAS" localSheetId="6">OFFSET(#REF!,1,0):OFFSET(#REF!,-1,0)</definedName>
    <definedName name="EMPRESAS" localSheetId="4">OFFSET(#REF!,1,0):OFFSET(#REF!,-1,0)</definedName>
    <definedName name="EMPRESAS" localSheetId="0">OFFSET(#REF!,1,0):OFFSET(#REF!,-1,0)</definedName>
    <definedName name="EMPRESAS" localSheetId="2">OFFSET(#REF!,1,0):OFFSET(#REF!,-1,0)</definedName>
    <definedName name="EMPRESAS" localSheetId="1">OFFSET(#REF!,1,0):OFFSET(#REF!,-1,0)</definedName>
    <definedName name="EMPRESAS" localSheetId="3">OFFSET(#REF!,1,0):OFFSET(#REF!,-1,0)</definedName>
    <definedName name="EMPRESAS">OFFSET(#REF!,1,0):OFFSET(#REF!,-1,0)</definedName>
    <definedName name="FiltroComp" localSheetId="6">#REF!</definedName>
    <definedName name="FiltroComp" localSheetId="4">#REF!</definedName>
    <definedName name="FiltroComp" localSheetId="0">#REF!</definedName>
    <definedName name="FiltroComp" localSheetId="2">#REF!</definedName>
    <definedName name="FiltroComp" localSheetId="1">#REF!</definedName>
    <definedName name="FiltroComp" localSheetId="3">#REF!</definedName>
    <definedName name="FiltroComp">#REF!</definedName>
    <definedName name="FiltroCot" localSheetId="6">#REF!</definedName>
    <definedName name="FiltroCot" localSheetId="4">#REF!</definedName>
    <definedName name="FiltroCot" localSheetId="0">#REF!</definedName>
    <definedName name="FiltroCot" localSheetId="2">#REF!</definedName>
    <definedName name="FiltroCot" localSheetId="1">#REF!</definedName>
    <definedName name="FiltroCot" localSheetId="3">#REF!</definedName>
    <definedName name="FiltroCot">#REF!</definedName>
    <definedName name="INDICES" localSheetId="6">OFFSET(#REF!,1,0):OFFSET(#REF!,-1,0)</definedName>
    <definedName name="INDICES" localSheetId="4">OFFSET(#REF!,1,0):OFFSET(#REF!,-1,0)</definedName>
    <definedName name="INDICES" localSheetId="0">OFFSET(#REF!,1,0):OFFSET(#REF!,-1,0)</definedName>
    <definedName name="INDICES" localSheetId="2">OFFSET(#REF!,1,0):OFFSET(#REF!,-1,0)</definedName>
    <definedName name="INDICES" localSheetId="1">OFFSET(#REF!,1,0):OFFSET(#REF!,-1,0)</definedName>
    <definedName name="INDICES" localSheetId="3">OFFSET(#REF!,1,0):OFFSET(#REF!,-1,0)</definedName>
    <definedName name="INDICES">OFFSET(#REF!,1,0):OFFSET(#REF!,-1,0)</definedName>
    <definedName name="LOCALIDADE" localSheetId="6">#REF!</definedName>
    <definedName name="LOCALIDADE" localSheetId="4">#REF!</definedName>
    <definedName name="LOCALIDADE" localSheetId="0">#REF!</definedName>
    <definedName name="LOCALIDADE" localSheetId="2">#REF!</definedName>
    <definedName name="LOCALIDADE" localSheetId="1">#REF!</definedName>
    <definedName name="LOCALIDADE" localSheetId="3">#REF!</definedName>
    <definedName name="LOCALIDADE">#REF!</definedName>
    <definedName name="NAOCONTEM" localSheetId="6">#REF!</definedName>
    <definedName name="NAOCONTEM" localSheetId="4">#REF!</definedName>
    <definedName name="NAOCONTEM" localSheetId="0">#REF!</definedName>
    <definedName name="NAOCONTEM" localSheetId="2">#REF!</definedName>
    <definedName name="NAOCONTEM" localSheetId="1">#REF!</definedName>
    <definedName name="NAOCONTEM" localSheetId="3">#REF!</definedName>
    <definedName name="NAOCONTEM">#REF!</definedName>
    <definedName name="NCOMPOSICOES">104</definedName>
    <definedName name="NCOTACOES">25</definedName>
    <definedName name="NEMPRESAS">50</definedName>
    <definedName name="NINDICES">3</definedName>
    <definedName name="NRELATORIOS" localSheetId="4">COUNTA(#REF!)-2</definedName>
    <definedName name="NRELATORIOS" localSheetId="0">COUNTA(#REF!)-2</definedName>
    <definedName name="NRELATORIOS" localSheetId="2">COUNTA(#REF!)-2</definedName>
    <definedName name="NRELATORIOS" localSheetId="3">COUNTA(#REF!)-2</definedName>
    <definedName name="NRELATORIOS">COUNTA(#REF!)-2</definedName>
    <definedName name="NumerEmpresa">50</definedName>
    <definedName name="NumerIndice">3</definedName>
    <definedName name="Objeto">"Referência"</definedName>
    <definedName name="ORÇAMENTO.BancoRef" localSheetId="6" hidden="1">#REF!</definedName>
    <definedName name="ORÇAMENTO.BancoRef" localSheetId="4" hidden="1">#REF!</definedName>
    <definedName name="ORÇAMENTO.BancoRef" localSheetId="0" hidden="1">#REF!</definedName>
    <definedName name="ORÇAMENTO.BancoRef" localSheetId="2" hidden="1">#REF!</definedName>
    <definedName name="ORÇAMENTO.BancoRef" localSheetId="1" hidden="1">#REF!</definedName>
    <definedName name="ORÇAMENTO.BancoRef" localSheetId="3" hidden="1">#REF!</definedName>
    <definedName name="ORÇAMENTO.BancoRef" hidden="1">#REF!</definedName>
    <definedName name="REFERENCIA.Descricao" localSheetId="6" hidden="1">IF(ISNUMBER(#REF!),OFFSET(INDIRECT('COMPOSIÇÃO DO BDI'!ORÇAMENTO.BancoRef),#REF!-1,3,1),#REF!)</definedName>
    <definedName name="REFERENCIA.Descricao" localSheetId="4" hidden="1">IF(ISNUMBER(#REF!),OFFSET(INDIRECT(GRADIL!ORÇAMENTO.BancoRef),#REF!-1,3,1),#REF!)</definedName>
    <definedName name="REFERENCIA.Descricao" localSheetId="0" hidden="1">IF(ISNUMBER(#REF!),OFFSET(INDIRECT('PLANILHA ORÇAMENTÁRIA (2)'!ORÇAMENTO.BancoRef),#REF!-1,3,1),#REF!)</definedName>
    <definedName name="REFERENCIA.Descricao" localSheetId="2" hidden="1">IF(ISNUMBER(#REF!),OFFSET(INDIRECT('PORTÃO 2,10 x 2,48'!ORÇAMENTO.BancoRef),#REF!-1,3,1),#REF!)</definedName>
    <definedName name="REFERENCIA.Descricao" localSheetId="1" hidden="1">IF(ISNUMBER(#REF!),OFFSET(INDIRECT('PORTÃO 3,58 x 2,48'!ORÇAMENTO.BancoRef),#REF!-1,3,1),#REF!)</definedName>
    <definedName name="REFERENCIA.Descricao" localSheetId="3" hidden="1">IF(ISNUMBER(#REF!),OFFSET(INDIRECT('PORTÃO 4,24 x 2,48'!ORÇAMENTO.BancoRef),#REF!-1,3,1),#REF!)</definedName>
    <definedName name="REFERENCIA.Descricao" hidden="1">IF(ISNUMBER(#REF!),OFFSET(INDIRECT(ORÇAMENTO.BancoRef),#REF!-1,3,1),#REF!)</definedName>
    <definedName name="RelatoriosFontes" localSheetId="6">OFFSET(#REF!,1,0,NRELATORIOS)</definedName>
    <definedName name="RelatoriosFontes" localSheetId="4">OFFSET(#REF!,1,0,GRADIL!NRELATORIOS)</definedName>
    <definedName name="RelatoriosFontes" localSheetId="0">OFFSET(#REF!,1,0,'PLANILHA ORÇAMENTÁRIA (2)'!NRELATORIOS)</definedName>
    <definedName name="RelatoriosFontes" localSheetId="2">OFFSET(#REF!,1,0,'PORTÃO 2,10 x 2,48'!NRELATORIOS)</definedName>
    <definedName name="RelatoriosFontes" localSheetId="1">OFFSET(#REF!,1,0,NRELATORIOS)</definedName>
    <definedName name="RelatoriosFontes" localSheetId="3">OFFSET(#REF!,1,0,'PORTÃO 4,24 x 2,48'!NRELATORIOS)</definedName>
    <definedName name="RelatoriosFontes">OFFSET(#REF!,1,0,NRELATORIOS)</definedName>
    <definedName name="SENHAGT" hidden="1">"PM2CAIXA"</definedName>
  </definedNames>
  <calcPr calcId="162913"/>
</workbook>
</file>

<file path=xl/calcChain.xml><?xml version="1.0" encoding="utf-8"?>
<calcChain xmlns="http://schemas.openxmlformats.org/spreadsheetml/2006/main">
  <c r="E30" i="26" l="1"/>
  <c r="E31" i="26" l="1"/>
  <c r="E29" i="26"/>
  <c r="C20" i="27" l="1"/>
  <c r="D14" i="23" s="1"/>
  <c r="D26" i="23" l="1"/>
  <c r="B152" i="27"/>
  <c r="F89" i="27" l="1"/>
  <c r="F88" i="27"/>
  <c r="F32" i="27"/>
  <c r="B153" i="27"/>
  <c r="B145" i="27"/>
  <c r="B133" i="27"/>
  <c r="B137" i="27" s="1"/>
  <c r="B129" i="27"/>
  <c r="B128" i="27"/>
  <c r="B121" i="27"/>
  <c r="B120" i="27"/>
  <c r="B113" i="27"/>
  <c r="B112" i="27"/>
  <c r="B114" i="27" s="1"/>
  <c r="B105" i="27"/>
  <c r="B104" i="27"/>
  <c r="B106" i="27" s="1"/>
  <c r="B97" i="27"/>
  <c r="B96" i="27"/>
  <c r="B98" i="27" s="1"/>
  <c r="B89" i="27"/>
  <c r="B88" i="27"/>
  <c r="C73" i="27"/>
  <c r="D28" i="23" s="1"/>
  <c r="B71" i="27"/>
  <c r="C66" i="27" s="1"/>
  <c r="D21" i="23" s="1"/>
  <c r="B64" i="27"/>
  <c r="C58" i="27" s="1"/>
  <c r="D20" i="23" s="1"/>
  <c r="B90" i="27" l="1"/>
  <c r="F90" i="27"/>
  <c r="B154" i="27"/>
  <c r="B144" i="27"/>
  <c r="B146" i="27" s="1"/>
  <c r="B136" i="27"/>
  <c r="B138" i="27" s="1"/>
  <c r="B130" i="27"/>
  <c r="B122" i="27"/>
  <c r="C82" i="27" l="1"/>
  <c r="D30" i="23" s="1"/>
  <c r="B54" i="27"/>
  <c r="B53" i="27"/>
  <c r="B46" i="27"/>
  <c r="B45" i="27"/>
  <c r="B37" i="27"/>
  <c r="B32" i="27"/>
  <c r="C27" i="27" s="1"/>
  <c r="C12" i="27"/>
  <c r="D13" i="23" s="1"/>
  <c r="C7" i="27"/>
  <c r="D12" i="23" s="1"/>
  <c r="C4" i="27"/>
  <c r="D10" i="23" s="1"/>
  <c r="D15" i="23" l="1"/>
  <c r="B47" i="27"/>
  <c r="B55" i="27"/>
  <c r="D32" i="23"/>
  <c r="C39" i="27" l="1"/>
  <c r="D16" i="23" s="1"/>
  <c r="G30" i="26"/>
  <c r="G31" i="26"/>
  <c r="G29" i="26"/>
  <c r="G22" i="26"/>
  <c r="G24" i="26"/>
  <c r="G18" i="26"/>
  <c r="G19" i="26"/>
  <c r="G20" i="26"/>
  <c r="G21" i="26"/>
  <c r="G23" i="26"/>
  <c r="G35" i="25"/>
  <c r="E32" i="25"/>
  <c r="G36" i="25" s="1"/>
  <c r="G23" i="25"/>
  <c r="G22" i="25"/>
  <c r="G21" i="25"/>
  <c r="G19" i="25"/>
  <c r="E24" i="25"/>
  <c r="G24" i="25" s="1"/>
  <c r="E23" i="25"/>
  <c r="E22" i="25"/>
  <c r="E21" i="25"/>
  <c r="E20" i="25"/>
  <c r="G20" i="25" s="1"/>
  <c r="E19" i="25"/>
  <c r="E18" i="25"/>
  <c r="G18" i="25" s="1"/>
  <c r="E32" i="24"/>
  <c r="G36" i="24" s="1"/>
  <c r="G18" i="24"/>
  <c r="G19" i="24"/>
  <c r="G20" i="24"/>
  <c r="G23" i="24"/>
  <c r="G24" i="24"/>
  <c r="G21" i="24"/>
  <c r="G22" i="24"/>
  <c r="E24" i="24"/>
  <c r="E23" i="24"/>
  <c r="E22" i="24"/>
  <c r="E21" i="24"/>
  <c r="E20" i="24"/>
  <c r="E19" i="24"/>
  <c r="E18" i="24"/>
  <c r="G35" i="22"/>
  <c r="G24" i="22"/>
  <c r="G22" i="22"/>
  <c r="G21" i="22"/>
  <c r="G23" i="22"/>
  <c r="G20" i="22"/>
  <c r="G19" i="22"/>
  <c r="G18" i="22"/>
  <c r="E22" i="22"/>
  <c r="E21" i="22"/>
  <c r="E24" i="22"/>
  <c r="E23" i="22"/>
  <c r="E20" i="22"/>
  <c r="E19" i="22"/>
  <c r="E18" i="22"/>
  <c r="E32" i="22"/>
  <c r="G5" i="23"/>
  <c r="H7" i="23" s="1"/>
  <c r="G13" i="23" l="1"/>
  <c r="H13" i="23"/>
  <c r="G20" i="23"/>
  <c r="G21" i="23"/>
  <c r="H21" i="23"/>
  <c r="H20" i="23"/>
  <c r="G32" i="26"/>
  <c r="G36" i="26" s="1"/>
  <c r="G25" i="26"/>
  <c r="G33" i="26" s="1"/>
  <c r="G35" i="26" s="1"/>
  <c r="G37" i="26" s="1"/>
  <c r="F26" i="23" s="1"/>
  <c r="H26" i="23" s="1"/>
  <c r="G25" i="25"/>
  <c r="G33" i="25" s="1"/>
  <c r="G37" i="25" s="1"/>
  <c r="F25" i="23" s="1"/>
  <c r="H25" i="23" s="1"/>
  <c r="G25" i="24"/>
  <c r="G33" i="24" s="1"/>
  <c r="G35" i="24" s="1"/>
  <c r="G37" i="24" s="1"/>
  <c r="F24" i="23" s="1"/>
  <c r="H24" i="23" s="1"/>
  <c r="H32" i="23"/>
  <c r="H12" i="23"/>
  <c r="G30" i="23"/>
  <c r="G10" i="23"/>
  <c r="G16" i="23"/>
  <c r="G17" i="23"/>
  <c r="G14" i="23"/>
  <c r="G32" i="23"/>
  <c r="G28" i="23"/>
  <c r="G12" i="23"/>
  <c r="G31" i="23"/>
  <c r="G18" i="23"/>
  <c r="G15" i="23"/>
  <c r="H10" i="23"/>
  <c r="H14" i="23"/>
  <c r="D17" i="23"/>
  <c r="H17" i="23" s="1"/>
  <c r="H16" i="23"/>
  <c r="D18" i="23"/>
  <c r="H18" i="23" s="1"/>
  <c r="H15" i="23"/>
  <c r="H28" i="23"/>
  <c r="G25" i="22"/>
  <c r="G33" i="22" s="1"/>
  <c r="G36" i="22"/>
  <c r="G26" i="23" l="1"/>
  <c r="G25" i="23"/>
  <c r="H19" i="23"/>
  <c r="D14" i="13" s="1"/>
  <c r="G24" i="23"/>
  <c r="H9" i="23"/>
  <c r="D10" i="13" s="1"/>
  <c r="H11" i="23"/>
  <c r="D12" i="13" s="1"/>
  <c r="H27" i="23"/>
  <c r="D18" i="13" s="1"/>
  <c r="D31" i="23"/>
  <c r="H31" i="23" s="1"/>
  <c r="H30" i="23"/>
  <c r="G37" i="22"/>
  <c r="F23" i="23" s="1"/>
  <c r="G23" i="23" l="1"/>
  <c r="H23" i="23"/>
  <c r="H22" i="23" s="1"/>
  <c r="D16" i="13" s="1"/>
  <c r="D22" i="13" s="1"/>
  <c r="H29" i="23"/>
  <c r="D20" i="13" s="1"/>
  <c r="E25" i="13" l="1"/>
  <c r="H33" i="23"/>
  <c r="I19" i="23" l="1"/>
  <c r="I13" i="23"/>
  <c r="I22" i="23"/>
  <c r="I21" i="23"/>
  <c r="I20" i="23"/>
  <c r="I11" i="23"/>
  <c r="I24" i="23"/>
  <c r="I32" i="23"/>
  <c r="I29" i="23"/>
  <c r="I14" i="23"/>
  <c r="I16" i="23"/>
  <c r="I10" i="23"/>
  <c r="I9" i="23"/>
  <c r="I31" i="23"/>
  <c r="I18" i="23"/>
  <c r="I15" i="23"/>
  <c r="I28" i="23"/>
  <c r="I26" i="23"/>
  <c r="I17" i="23"/>
  <c r="I23" i="23"/>
  <c r="I25" i="23"/>
  <c r="I30" i="23"/>
  <c r="I12" i="23"/>
  <c r="I27" i="23"/>
  <c r="D19" i="21"/>
  <c r="I33" i="23" l="1"/>
  <c r="D16" i="21" l="1"/>
  <c r="L126" i="12" l="1"/>
  <c r="M126" i="12"/>
  <c r="C9" i="7" l="1"/>
  <c r="D15" i="7" l="1"/>
  <c r="D14" i="7"/>
  <c r="D13" i="7"/>
  <c r="D12" i="7"/>
  <c r="D11" i="7"/>
  <c r="D10" i="7"/>
  <c r="D7" i="7"/>
  <c r="D6" i="7"/>
  <c r="D5" i="7"/>
  <c r="C22" i="5" l="1"/>
  <c r="C3" i="7"/>
  <c r="H125" i="12"/>
  <c r="H124" i="12"/>
  <c r="L124" i="12" s="1"/>
  <c r="M124" i="12" s="1"/>
  <c r="H123" i="12"/>
  <c r="H122" i="12"/>
  <c r="H121" i="12"/>
  <c r="L121" i="12" s="1"/>
  <c r="M121" i="12" s="1"/>
  <c r="H120" i="12"/>
  <c r="L120" i="12" s="1"/>
  <c r="M120" i="12" s="1"/>
  <c r="H119" i="12"/>
  <c r="L118" i="12"/>
  <c r="M118" i="12" s="1"/>
  <c r="L119" i="12"/>
  <c r="M119" i="12"/>
  <c r="L122" i="12"/>
  <c r="M122" i="12" s="1"/>
  <c r="L123" i="12"/>
  <c r="M123" i="12" s="1"/>
  <c r="L125" i="12"/>
  <c r="M125" i="12" s="1"/>
  <c r="H118" i="12"/>
  <c r="H117" i="12"/>
  <c r="L117" i="12" s="1"/>
  <c r="M117" i="12" s="1"/>
  <c r="H116" i="12"/>
  <c r="L116" i="12" s="1"/>
  <c r="M116" i="12" s="1"/>
  <c r="H115" i="12"/>
  <c r="L115" i="12" s="1"/>
  <c r="M115" i="12" s="1"/>
  <c r="H114" i="12"/>
  <c r="L114" i="12" s="1"/>
  <c r="M114" i="12" s="1"/>
  <c r="H113" i="12"/>
  <c r="L113" i="12" s="1"/>
  <c r="M113" i="12" s="1"/>
  <c r="H112" i="12"/>
  <c r="L112" i="12" s="1"/>
  <c r="M112" i="12" s="1"/>
  <c r="H111" i="12"/>
  <c r="L111" i="12" s="1"/>
  <c r="M111" i="12" s="1"/>
  <c r="H110" i="12"/>
  <c r="L110" i="12" s="1"/>
  <c r="M110" i="12" s="1"/>
  <c r="H109" i="12"/>
  <c r="L109" i="12" s="1"/>
  <c r="M109" i="12" s="1"/>
  <c r="H108" i="12"/>
  <c r="L108" i="12" s="1"/>
  <c r="M108" i="12" s="1"/>
  <c r="H107" i="12"/>
  <c r="L107" i="12" s="1"/>
  <c r="M107" i="12" s="1"/>
  <c r="H106" i="12"/>
  <c r="L106" i="12" s="1"/>
  <c r="M106" i="12" s="1"/>
  <c r="H105" i="12"/>
  <c r="L105" i="12" s="1"/>
  <c r="M105" i="12" s="1"/>
  <c r="H104" i="12"/>
  <c r="L104" i="12" s="1"/>
  <c r="M104" i="12" s="1"/>
  <c r="H103" i="12"/>
  <c r="L103" i="12" s="1"/>
  <c r="M103" i="12" s="1"/>
  <c r="H102" i="12"/>
  <c r="L102" i="12" s="1"/>
  <c r="M102" i="12" s="1"/>
  <c r="H101" i="12"/>
  <c r="L101" i="12" s="1"/>
  <c r="M101" i="12" s="1"/>
  <c r="H100" i="12"/>
  <c r="L100" i="12" s="1"/>
  <c r="M100" i="12" s="1"/>
  <c r="H99" i="12"/>
  <c r="L99" i="12" s="1"/>
  <c r="M99" i="12" s="1"/>
  <c r="H98" i="12"/>
  <c r="L98" i="12" s="1"/>
  <c r="M98" i="12" s="1"/>
  <c r="H97" i="12"/>
  <c r="L97" i="12" s="1"/>
  <c r="M97" i="12" s="1"/>
  <c r="H96" i="12"/>
  <c r="L96" i="12" s="1"/>
  <c r="M96" i="12" s="1"/>
  <c r="H95" i="12"/>
  <c r="L95" i="12" s="1"/>
  <c r="M95" i="12" s="1"/>
  <c r="H94" i="12"/>
  <c r="L94" i="12" s="1"/>
  <c r="M94" i="12" s="1"/>
  <c r="H93" i="12"/>
  <c r="H92" i="12"/>
  <c r="L92" i="12" s="1"/>
  <c r="M92" i="12" s="1"/>
  <c r="H91" i="12"/>
  <c r="L91" i="12" s="1"/>
  <c r="M91" i="12" s="1"/>
  <c r="H90" i="12"/>
  <c r="L90" i="12" s="1"/>
  <c r="M90" i="12" s="1"/>
  <c r="H89" i="12"/>
  <c r="L89" i="12" s="1"/>
  <c r="M89" i="12" s="1"/>
  <c r="H88" i="12"/>
  <c r="L88" i="12" s="1"/>
  <c r="M88" i="12" s="1"/>
  <c r="H87" i="12"/>
  <c r="L87" i="12" s="1"/>
  <c r="M87" i="12" s="1"/>
  <c r="H86" i="12"/>
  <c r="L86" i="12" s="1"/>
  <c r="M86" i="12" s="1"/>
  <c r="H85" i="12"/>
  <c r="L85" i="12" s="1"/>
  <c r="M85" i="12" s="1"/>
  <c r="H84" i="12"/>
  <c r="L84" i="12" s="1"/>
  <c r="M84" i="12" s="1"/>
  <c r="H83" i="12"/>
  <c r="L83" i="12" s="1"/>
  <c r="M83" i="12" s="1"/>
  <c r="H82" i="12"/>
  <c r="L82" i="12" s="1"/>
  <c r="M82" i="12" s="1"/>
  <c r="H81" i="12"/>
  <c r="L81" i="12" s="1"/>
  <c r="M81" i="12" s="1"/>
  <c r="H80" i="12"/>
  <c r="L80" i="12" s="1"/>
  <c r="M80" i="12" s="1"/>
  <c r="H79" i="12"/>
  <c r="L79" i="12" s="1"/>
  <c r="M79" i="12" s="1"/>
  <c r="H78" i="12"/>
  <c r="L78" i="12" s="1"/>
  <c r="M78" i="12" s="1"/>
  <c r="H77" i="12"/>
  <c r="L77" i="12" s="1"/>
  <c r="M77" i="12" s="1"/>
  <c r="H76" i="12"/>
  <c r="L76" i="12" s="1"/>
  <c r="M76" i="12" s="1"/>
  <c r="H75" i="12"/>
  <c r="L75" i="12" s="1"/>
  <c r="M75" i="12" s="1"/>
  <c r="H74" i="12"/>
  <c r="L74" i="12" s="1"/>
  <c r="M74" i="12" s="1"/>
  <c r="H73" i="12"/>
  <c r="L73" i="12" s="1"/>
  <c r="M73" i="12" s="1"/>
  <c r="H72" i="12"/>
  <c r="L72" i="12" s="1"/>
  <c r="M72" i="12" s="1"/>
  <c r="H71" i="12"/>
  <c r="L71" i="12" s="1"/>
  <c r="M71" i="12" s="1"/>
  <c r="H70" i="12"/>
  <c r="L70" i="12" s="1"/>
  <c r="M70" i="12" s="1"/>
  <c r="H69" i="12"/>
  <c r="L69" i="12" s="1"/>
  <c r="M69" i="12" s="1"/>
  <c r="H68" i="12"/>
  <c r="L68" i="12" s="1"/>
  <c r="M68" i="12" s="1"/>
  <c r="H67" i="12"/>
  <c r="L67" i="12" s="1"/>
  <c r="M67" i="12" s="1"/>
  <c r="H66" i="12"/>
  <c r="L66" i="12" s="1"/>
  <c r="M66" i="12" s="1"/>
  <c r="H65" i="12"/>
  <c r="L65" i="12" s="1"/>
  <c r="M65" i="12" s="1"/>
  <c r="H64" i="12"/>
  <c r="L64" i="12" s="1"/>
  <c r="M64" i="12" s="1"/>
  <c r="H63" i="12"/>
  <c r="L63" i="12" s="1"/>
  <c r="M63" i="12" s="1"/>
  <c r="H62" i="12"/>
  <c r="L62" i="12" s="1"/>
  <c r="M62" i="12" s="1"/>
  <c r="H61" i="12"/>
  <c r="L61" i="12" s="1"/>
  <c r="M61" i="12" s="1"/>
  <c r="H60" i="12"/>
  <c r="L60" i="12" s="1"/>
  <c r="M60" i="12" s="1"/>
  <c r="H59" i="12"/>
  <c r="L59" i="12" s="1"/>
  <c r="M59" i="12" s="1"/>
  <c r="H58" i="12"/>
  <c r="L58" i="12" s="1"/>
  <c r="M58" i="12" s="1"/>
  <c r="H57" i="12"/>
  <c r="L57" i="12" s="1"/>
  <c r="M57" i="12" s="1"/>
  <c r="H56" i="12"/>
  <c r="L56" i="12" s="1"/>
  <c r="M56" i="12" s="1"/>
  <c r="H55" i="12"/>
  <c r="L55" i="12" s="1"/>
  <c r="M55" i="12" s="1"/>
  <c r="H54" i="12"/>
  <c r="L54" i="12" s="1"/>
  <c r="M54" i="12" s="1"/>
  <c r="H53" i="12"/>
  <c r="L53" i="12" s="1"/>
  <c r="M53" i="12" s="1"/>
  <c r="H52" i="12"/>
  <c r="L52" i="12" s="1"/>
  <c r="M52" i="12" s="1"/>
  <c r="H51" i="12"/>
  <c r="L51" i="12" s="1"/>
  <c r="L93" i="12"/>
  <c r="M93" i="12" s="1"/>
  <c r="I44" i="12" l="1"/>
  <c r="M44" i="12" s="1"/>
  <c r="K44" i="12"/>
  <c r="N19" i="12"/>
  <c r="P19" i="12"/>
  <c r="O19" i="12"/>
  <c r="K19" i="12"/>
  <c r="H19" i="12"/>
  <c r="M19" i="12"/>
  <c r="K43" i="12"/>
  <c r="K42" i="12"/>
  <c r="K41" i="12"/>
  <c r="K40" i="12"/>
  <c r="J39" i="12"/>
  <c r="J38" i="12"/>
  <c r="J37" i="12"/>
  <c r="J36" i="12"/>
  <c r="J35" i="12"/>
  <c r="J34" i="12"/>
  <c r="J33" i="12"/>
  <c r="J32" i="12"/>
  <c r="J31" i="12"/>
  <c r="J30" i="12"/>
  <c r="J29" i="12"/>
  <c r="J28" i="12"/>
  <c r="J27" i="12"/>
  <c r="J26" i="12"/>
  <c r="J25" i="12"/>
  <c r="J24" i="12"/>
  <c r="J23" i="12"/>
  <c r="J45" i="12" l="1"/>
  <c r="K45" i="12"/>
  <c r="C42" i="5"/>
  <c r="C43" i="5" s="1"/>
  <c r="E9" i="5"/>
  <c r="E10" i="5"/>
  <c r="E11" i="5"/>
  <c r="E12" i="5"/>
  <c r="E13" i="5"/>
  <c r="E14" i="5"/>
  <c r="E15" i="5"/>
  <c r="E16" i="5"/>
  <c r="E17" i="5"/>
  <c r="C21" i="5"/>
  <c r="E21" i="5" s="1"/>
  <c r="C23" i="5"/>
  <c r="E23" i="5" s="1"/>
  <c r="H6" i="5" l="1"/>
  <c r="C8" i="5"/>
  <c r="E8" i="5" s="1"/>
  <c r="C7" i="5"/>
  <c r="E7" i="5" s="1"/>
  <c r="C6" i="5"/>
  <c r="E6" i="5" s="1"/>
  <c r="C5" i="5"/>
  <c r="C4" i="7"/>
  <c r="C14" i="7"/>
  <c r="C13" i="7"/>
  <c r="C12" i="7"/>
  <c r="C11" i="7"/>
  <c r="C10" i="7"/>
  <c r="C8" i="7"/>
  <c r="C7" i="7"/>
  <c r="C6" i="7"/>
  <c r="C5" i="7"/>
  <c r="E5" i="5" l="1"/>
  <c r="H7" i="5"/>
  <c r="H5" i="5"/>
  <c r="C15" i="7"/>
  <c r="K126" i="12" l="1"/>
  <c r="J126" i="12"/>
  <c r="M51" i="12"/>
  <c r="M24" i="12"/>
  <c r="M25" i="12"/>
  <c r="M26" i="12"/>
  <c r="M27" i="12"/>
  <c r="M28" i="12"/>
  <c r="M29" i="12"/>
  <c r="M30" i="12"/>
  <c r="M31" i="12"/>
  <c r="M32" i="12"/>
  <c r="M33" i="12"/>
  <c r="M34" i="12"/>
  <c r="M35" i="12"/>
  <c r="M36" i="12"/>
  <c r="M37" i="12"/>
  <c r="M38" i="12"/>
  <c r="M39" i="12"/>
  <c r="M40" i="12"/>
  <c r="M41" i="12"/>
  <c r="M42" i="12"/>
  <c r="M43" i="12"/>
  <c r="M23" i="12"/>
  <c r="M45" i="12" l="1"/>
  <c r="N126" i="12" l="1"/>
  <c r="F7" i="2" l="1"/>
  <c r="F8" i="2" l="1"/>
  <c r="F4" i="2" l="1"/>
  <c r="F5" i="2"/>
  <c r="F6" i="2"/>
  <c r="F3" i="2"/>
  <c r="F9" i="2" l="1"/>
  <c r="E26" i="13" l="1"/>
  <c r="E23" i="13" l="1"/>
  <c r="E24" i="13" s="1"/>
</calcChain>
</file>

<file path=xl/sharedStrings.xml><?xml version="1.0" encoding="utf-8"?>
<sst xmlns="http://schemas.openxmlformats.org/spreadsheetml/2006/main" count="906" uniqueCount="417">
  <si>
    <t>Item</t>
  </si>
  <si>
    <t>Descrição</t>
  </si>
  <si>
    <t>Quantidade</t>
  </si>
  <si>
    <t>Unidade</t>
  </si>
  <si>
    <t>Custo unitário (sem BDI)</t>
  </si>
  <si>
    <t>m²</t>
  </si>
  <si>
    <t>m³</t>
  </si>
  <si>
    <t>m</t>
  </si>
  <si>
    <t>PLANILHA ORÇAMENTÁRIA</t>
  </si>
  <si>
    <t>OBRA</t>
  </si>
  <si>
    <t>BDI</t>
  </si>
  <si>
    <t>DATA</t>
  </si>
  <si>
    <t>ENDEREÇO</t>
  </si>
  <si>
    <t>OBSERVAÇÕES:</t>
  </si>
  <si>
    <t>DIRETORIA DE ENGENHARIA</t>
  </si>
  <si>
    <t>CNPJ nº 46.634.127/0001-63</t>
  </si>
  <si>
    <t>PREFEITURA MUNICIPAL DE ITATINGA/SP</t>
  </si>
  <si>
    <t>Código CDHU</t>
  </si>
  <si>
    <t>12.01.021</t>
  </si>
  <si>
    <t>14.10.111</t>
  </si>
  <si>
    <t>Espessura (m)</t>
  </si>
  <si>
    <t>Volume (m³)</t>
  </si>
  <si>
    <t>Comprimento (m)</t>
  </si>
  <si>
    <t>Altura (m)</t>
  </si>
  <si>
    <t>Total</t>
  </si>
  <si>
    <t>Placa em lona com impressão digital e estrutura em madeira</t>
  </si>
  <si>
    <t>02.08.050</t>
  </si>
  <si>
    <t>PINTURA</t>
  </si>
  <si>
    <t>33.10.030</t>
  </si>
  <si>
    <t>Tinta acrílica antimofo em massa, inclusive preparo</t>
  </si>
  <si>
    <t>33.02.080</t>
  </si>
  <si>
    <t>Massa corrida à base de resina acrílica</t>
  </si>
  <si>
    <t>Emboço comum</t>
  </si>
  <si>
    <t>Reboco</t>
  </si>
  <si>
    <t>17.02.120</t>
  </si>
  <si>
    <t>17.02.220</t>
  </si>
  <si>
    <t>Alvenaria de bloco de concreto de vedação de 14 x 19 x 39 cm ‐ classe C</t>
  </si>
  <si>
    <t>17.02.020</t>
  </si>
  <si>
    <t>Chapisco</t>
  </si>
  <si>
    <t>Demolição de paredes</t>
  </si>
  <si>
    <t>Pintura interna</t>
  </si>
  <si>
    <t>TOTAL</t>
  </si>
  <si>
    <t>Estrutura metálica da cobertura com telhas sanduíche</t>
  </si>
  <si>
    <t>TOTAL (m²)</t>
  </si>
  <si>
    <t>Área de alvenaria (m²)</t>
  </si>
  <si>
    <t>Serviço</t>
  </si>
  <si>
    <t>Acrílica</t>
  </si>
  <si>
    <t>Pintura externa</t>
  </si>
  <si>
    <t>Massa corrida</t>
  </si>
  <si>
    <t>Broca em concreto armado diâmetro de 20 cm ‐ completa</t>
  </si>
  <si>
    <t>ITEM</t>
  </si>
  <si>
    <t>ETAPAS CONSTRUTIVAS</t>
  </si>
  <si>
    <t>TOTAL DO ITEM</t>
  </si>
  <si>
    <t>MÊS 01</t>
  </si>
  <si>
    <t>%</t>
  </si>
  <si>
    <t>% DO MÊS</t>
  </si>
  <si>
    <t>% ACUMULADA</t>
  </si>
  <si>
    <t>TOTAL DO MÊS</t>
  </si>
  <si>
    <t>TOTAL ACUMULADO</t>
  </si>
  <si>
    <t>CRONOGRAMA FÍSICO-FINANCEIRO</t>
  </si>
  <si>
    <t>PRAZO</t>
  </si>
  <si>
    <t>Preço total (R$)</t>
  </si>
  <si>
    <t>33.11.050</t>
  </si>
  <si>
    <t>Esmalte à base água em superfície metálica, inclusive preparo</t>
  </si>
  <si>
    <t>94231 (*)</t>
  </si>
  <si>
    <t>Rufo em chapa de aço galvanizado número 24, corte de 25 cm, incluso transporte vertical. AF_07/2019</t>
  </si>
  <si>
    <t>Ambiente</t>
  </si>
  <si>
    <t>Tomadas simples</t>
  </si>
  <si>
    <t>Tomadas duplas</t>
  </si>
  <si>
    <t>Baixas</t>
  </si>
  <si>
    <t>Médias</t>
  </si>
  <si>
    <t>Altas (AC)</t>
  </si>
  <si>
    <t>Luminárias</t>
  </si>
  <si>
    <t>WC Masculino</t>
  </si>
  <si>
    <t>WC Feminino</t>
  </si>
  <si>
    <t>Interruptores</t>
  </si>
  <si>
    <t>Paralelo 1</t>
  </si>
  <si>
    <t>Paralelo 2</t>
  </si>
  <si>
    <t>Trecho</t>
  </si>
  <si>
    <t>IL-01</t>
  </si>
  <si>
    <t>IL-02</t>
  </si>
  <si>
    <t>IL-03</t>
  </si>
  <si>
    <t>IL-04</t>
  </si>
  <si>
    <t>IL-05</t>
  </si>
  <si>
    <t>IL-06</t>
  </si>
  <si>
    <t>IL-07</t>
  </si>
  <si>
    <t>IL-08</t>
  </si>
  <si>
    <t>IL-09</t>
  </si>
  <si>
    <t>IL-10</t>
  </si>
  <si>
    <t>IL-11</t>
  </si>
  <si>
    <t>IL-12</t>
  </si>
  <si>
    <t>IL-13</t>
  </si>
  <si>
    <t>IL-14</t>
  </si>
  <si>
    <t>IL-15</t>
  </si>
  <si>
    <t>IL-16</t>
  </si>
  <si>
    <t>IL-17</t>
  </si>
  <si>
    <t>IL-18</t>
  </si>
  <si>
    <t>IL-19</t>
  </si>
  <si>
    <t>IL-20</t>
  </si>
  <si>
    <t>IL-21</t>
  </si>
  <si>
    <t>IL-22</t>
  </si>
  <si>
    <t>Quantidade de cabos</t>
  </si>
  <si>
    <t>Cabo 2,50 mm² (m)</t>
  </si>
  <si>
    <t>Eletroduto 25 mm (m)</t>
  </si>
  <si>
    <t>ILUMINAÇÃO</t>
  </si>
  <si>
    <t>TOMADAS</t>
  </si>
  <si>
    <t>T-01</t>
  </si>
  <si>
    <t>T-02</t>
  </si>
  <si>
    <t>T-03</t>
  </si>
  <si>
    <t>T-04</t>
  </si>
  <si>
    <t>T-05</t>
  </si>
  <si>
    <t>T-06</t>
  </si>
  <si>
    <t>T-07</t>
  </si>
  <si>
    <t>T-08</t>
  </si>
  <si>
    <t>T-09</t>
  </si>
  <si>
    <t>T-10</t>
  </si>
  <si>
    <t>T-11</t>
  </si>
  <si>
    <t>T-12</t>
  </si>
  <si>
    <t>T-13</t>
  </si>
  <si>
    <t>T-14</t>
  </si>
  <si>
    <t>T-15</t>
  </si>
  <si>
    <t>T-16</t>
  </si>
  <si>
    <t>T-17</t>
  </si>
  <si>
    <t>T-18</t>
  </si>
  <si>
    <t>T-19</t>
  </si>
  <si>
    <t>T-20</t>
  </si>
  <si>
    <t>T-21</t>
  </si>
  <si>
    <t>T-22</t>
  </si>
  <si>
    <t>T-23</t>
  </si>
  <si>
    <t>T-24</t>
  </si>
  <si>
    <t>T-25</t>
  </si>
  <si>
    <t>T-26</t>
  </si>
  <si>
    <t>T-27</t>
  </si>
  <si>
    <t>T-28</t>
  </si>
  <si>
    <t>T-29</t>
  </si>
  <si>
    <t>T-30</t>
  </si>
  <si>
    <t>T-31</t>
  </si>
  <si>
    <t>T-32</t>
  </si>
  <si>
    <t>T-33</t>
  </si>
  <si>
    <t>T-34</t>
  </si>
  <si>
    <t>T-35</t>
  </si>
  <si>
    <t>T-36</t>
  </si>
  <si>
    <t>T-37</t>
  </si>
  <si>
    <t>T-38</t>
  </si>
  <si>
    <t>Eletrocalha (m)</t>
  </si>
  <si>
    <t>Perfilado (m)</t>
  </si>
  <si>
    <t>TAC-1</t>
  </si>
  <si>
    <t>TAC-2</t>
  </si>
  <si>
    <t>TAC-3</t>
  </si>
  <si>
    <t>TAC-4</t>
  </si>
  <si>
    <t>TAC-5</t>
  </si>
  <si>
    <t>TAC-6</t>
  </si>
  <si>
    <t>TAC-7</t>
  </si>
  <si>
    <t>TAC-8</t>
  </si>
  <si>
    <t>Fundo Social</t>
  </si>
  <si>
    <t>Guarda Municipal</t>
  </si>
  <si>
    <t>Recepção / Sala de Espera / Circulação</t>
  </si>
  <si>
    <t>Sala Multiuso</t>
  </si>
  <si>
    <t>Copa/Cozinha</t>
  </si>
  <si>
    <t>W.C. Funcionários</t>
  </si>
  <si>
    <t>Sala Odontológica</t>
  </si>
  <si>
    <t>Sala Esterilização</t>
  </si>
  <si>
    <t>Sala Atendimento Médico</t>
  </si>
  <si>
    <t>Sala de Curativos</t>
  </si>
  <si>
    <t>Sala de Higienização</t>
  </si>
  <si>
    <t>Parede 1</t>
  </si>
  <si>
    <t>Parede 2</t>
  </si>
  <si>
    <t>Parede 3</t>
  </si>
  <si>
    <t>Parede 4</t>
  </si>
  <si>
    <t>Parede 5</t>
  </si>
  <si>
    <t>Parede 6</t>
  </si>
  <si>
    <t>Abrigo de veículos</t>
  </si>
  <si>
    <t>Área de serviço</t>
  </si>
  <si>
    <t>Muro externo</t>
  </si>
  <si>
    <t>Parede entre banheiros masculino e feminino</t>
  </si>
  <si>
    <t>Fechamento WC Feminino / PNE</t>
  </si>
  <si>
    <t>Fechamento de vão Recepção / Guarda Municipal</t>
  </si>
  <si>
    <t>Trecho de parede na Recepção</t>
  </si>
  <si>
    <t>Fechamento de vão Cozinha / Sala Multiuso</t>
  </si>
  <si>
    <t>Fechamento de vão WC Funcionários / Sala Multiuso</t>
  </si>
  <si>
    <t>Parede entre Sala de Esterilização e Sala Odontológica</t>
  </si>
  <si>
    <t>Fechamento de vão Sala de Atendimento Médico / Abrigo de ambulância</t>
  </si>
  <si>
    <t>Parede externa da Sala de Curativos</t>
  </si>
  <si>
    <t>Mureta da fachada</t>
  </si>
  <si>
    <t>Recepção / Sala de Espera / Área de Circulação</t>
  </si>
  <si>
    <t>Copa / Cozinha</t>
  </si>
  <si>
    <t>WC Funcionários</t>
  </si>
  <si>
    <t>Sala de Esterilização</t>
  </si>
  <si>
    <t>Sala de Atendimento Médico</t>
  </si>
  <si>
    <t>Paredes externas</t>
  </si>
  <si>
    <t>Muro de divisa</t>
  </si>
  <si>
    <t>Mureta</t>
  </si>
  <si>
    <t>Massa corrida PVA</t>
  </si>
  <si>
    <t>Massa acrílica</t>
  </si>
  <si>
    <t>Comprimentos dos perfis metálicos (m)</t>
  </si>
  <si>
    <t>Tramos</t>
  </si>
  <si>
    <t>Simples 1</t>
  </si>
  <si>
    <t>T-39</t>
  </si>
  <si>
    <t>T-40</t>
  </si>
  <si>
    <t>T-41</t>
  </si>
  <si>
    <t>T-42</t>
  </si>
  <si>
    <t>T-43</t>
  </si>
  <si>
    <t>T-44</t>
  </si>
  <si>
    <t>T-45</t>
  </si>
  <si>
    <t>T-46</t>
  </si>
  <si>
    <t>T-47</t>
  </si>
  <si>
    <t>T-48</t>
  </si>
  <si>
    <t>T-49</t>
  </si>
  <si>
    <t>T-50</t>
  </si>
  <si>
    <t>T-51</t>
  </si>
  <si>
    <t>T-52</t>
  </si>
  <si>
    <t>T-53</t>
  </si>
  <si>
    <t>T-54</t>
  </si>
  <si>
    <t>T-55</t>
  </si>
  <si>
    <t>T-56</t>
  </si>
  <si>
    <t>T-57</t>
  </si>
  <si>
    <t>T-58</t>
  </si>
  <si>
    <t>T-59</t>
  </si>
  <si>
    <t>T-60</t>
  </si>
  <si>
    <t>T-61</t>
  </si>
  <si>
    <t>T-62</t>
  </si>
  <si>
    <t>T-63</t>
  </si>
  <si>
    <t>T-64</t>
  </si>
  <si>
    <t>T-65</t>
  </si>
  <si>
    <t>T-66</t>
  </si>
  <si>
    <t>T-67</t>
  </si>
  <si>
    <t>Alvenaria de embasamento (m³)</t>
  </si>
  <si>
    <t>Trecho de fechamento da porta de acesso principal</t>
  </si>
  <si>
    <t>PLACA DE IDENTIFICAÇÃO DA OBRA</t>
  </si>
  <si>
    <t>COMPOSIÇÃO ANALÍTICA DO BDI CONFORME ACÓRDÃO 2622/2013 - TCU PLENÁRIO</t>
  </si>
  <si>
    <t>OBJETO</t>
  </si>
  <si>
    <t>LOCAL</t>
  </si>
  <si>
    <t>DESCRIÇÃO</t>
  </si>
  <si>
    <t>ÍNDICE ADOTADO (%)</t>
  </si>
  <si>
    <t>Administração Central (AC)</t>
  </si>
  <si>
    <t>Lucro (L)</t>
  </si>
  <si>
    <t>Despesas Financeiras (DF)</t>
  </si>
  <si>
    <t>Seguros e Garantias (S + G)</t>
  </si>
  <si>
    <t xml:space="preserve">Riscos (R) </t>
  </si>
  <si>
    <t>IMPOSTOS</t>
  </si>
  <si>
    <t>6.1</t>
  </si>
  <si>
    <t>ISS</t>
  </si>
  <si>
    <t>6.2</t>
  </si>
  <si>
    <t>INSS</t>
  </si>
  <si>
    <t>BDI (COM DESONERAÇÃO)</t>
  </si>
  <si>
    <t>O BDI acima foi calculado por meio da fórmula prevista no Acórdão 2622/2013 - TCU - Plenário:</t>
  </si>
  <si>
    <t>Construção de muro e instalação de gradil no Centro Comunitário do Fundo Social de Itatinga</t>
  </si>
  <si>
    <t>Rua Ana Rosa de Souza, 41, Centro, Itatinga/SP</t>
  </si>
  <si>
    <t>GRADIL E PORTÕES</t>
  </si>
  <si>
    <t>RUFO</t>
  </si>
  <si>
    <t>14.20.010</t>
  </si>
  <si>
    <t>Vergas, contravergas e pilaretes de concreto armado</t>
  </si>
  <si>
    <t>1.1</t>
  </si>
  <si>
    <t>2.1</t>
  </si>
  <si>
    <t>2.2</t>
  </si>
  <si>
    <t>2.3</t>
  </si>
  <si>
    <t>2.4</t>
  </si>
  <si>
    <t>2.5</t>
  </si>
  <si>
    <t>2.6</t>
  </si>
  <si>
    <t>3.1</t>
  </si>
  <si>
    <t>3.2</t>
  </si>
  <si>
    <t>4.1</t>
  </si>
  <si>
    <t>5.1</t>
  </si>
  <si>
    <t>30 dias</t>
  </si>
  <si>
    <t>Construção de muro e instalação de gradil e portões no Centro Comunitário do Fundo Social de Itatinga</t>
  </si>
  <si>
    <t>BOLETIM CDHU 190 - ENCARGOS SOCIAIS DESONERADOS (LS = 97,78%) - DATA/BASE: MAIO/2023.</t>
  </si>
  <si>
    <t>Preço unitário (com BDI)</t>
  </si>
  <si>
    <t>Parcela de maior relevância ou de valor significativo:</t>
  </si>
  <si>
    <t>PREFEITURA MUNICIPAL DE ITATINGA</t>
  </si>
  <si>
    <t>- ESTADO DE SÃO PAULO -</t>
  </si>
  <si>
    <t>Rua Nove de Julho nº 304 – Centro – CEP. 18690-000</t>
  </si>
  <si>
    <t>E-mail: engenharia@pmitatinga.sp.gov.br</t>
  </si>
  <si>
    <t>Site: www.pmitatinga.sp.gov.br</t>
  </si>
  <si>
    <t xml:space="preserve">MÃO DE OBRA </t>
  </si>
  <si>
    <t>CÓDIGO</t>
  </si>
  <si>
    <t>FONTE</t>
  </si>
  <si>
    <t>INSUMO</t>
  </si>
  <si>
    <t>UNIDADE</t>
  </si>
  <si>
    <t>QUANTIDADE</t>
  </si>
  <si>
    <t>PREÇO TOTAL (R$)</t>
  </si>
  <si>
    <t>h</t>
  </si>
  <si>
    <t xml:space="preserve">TOTAL MÃO DE OBRA </t>
  </si>
  <si>
    <t xml:space="preserve">MATERIAL </t>
  </si>
  <si>
    <t>CDHU</t>
  </si>
  <si>
    <t>M.O - R$</t>
  </si>
  <si>
    <t>TOTAL MÃO DE OBRA</t>
  </si>
  <si>
    <t>TOTAL MATERIAL</t>
  </si>
  <si>
    <t>____________________________________</t>
  </si>
  <si>
    <r>
      <rPr>
        <b/>
        <sz val="12"/>
        <rFont val="Times New Roman"/>
        <family val="1"/>
      </rPr>
      <t>Obra:</t>
    </r>
    <r>
      <rPr>
        <sz val="12"/>
        <rFont val="Times New Roman"/>
        <family val="1"/>
      </rPr>
      <t xml:space="preserve"> Construção de muro e instalação de gradil e portões no Centro Comunitário do Fundo Social de Itatinga</t>
    </r>
  </si>
  <si>
    <t>CDHU 190 (DESONERADO)</t>
  </si>
  <si>
    <r>
      <rPr>
        <b/>
        <sz val="12"/>
        <color theme="1"/>
        <rFont val="Times New Roman"/>
        <family val="1"/>
      </rPr>
      <t>Local:</t>
    </r>
    <r>
      <rPr>
        <sz val="12"/>
        <color theme="1"/>
        <rFont val="Times New Roman"/>
        <family val="1"/>
      </rPr>
      <t xml:space="preserve"> Rua Ana Rosa de Souza, 41, Centro, Itatinga/SP</t>
    </r>
  </si>
  <si>
    <t>Ajudante geral</t>
  </si>
  <si>
    <t>Carpinteiro</t>
  </si>
  <si>
    <t>Ajudante de carpinteiro</t>
  </si>
  <si>
    <t>Pedreiro</t>
  </si>
  <si>
    <t>Serralheiro</t>
  </si>
  <si>
    <t>Ajudante de serralheiro</t>
  </si>
  <si>
    <t>Servente</t>
  </si>
  <si>
    <t>B.01.000.010101</t>
  </si>
  <si>
    <t>B.01.000.010111</t>
  </si>
  <si>
    <t>B.01.000.010112</t>
  </si>
  <si>
    <t>B.01.000.010139</t>
  </si>
  <si>
    <t>B.01.000.010144</t>
  </si>
  <si>
    <t>B.01.000.010145</t>
  </si>
  <si>
    <t>B.01.000.010146</t>
  </si>
  <si>
    <t>E.S % (CDHU 05/2023 - DESONERADO)</t>
  </si>
  <si>
    <t>Portão de abrir em ferro, com 02 folhas - 3,58 m x 2,48 m</t>
  </si>
  <si>
    <t>Portão de abrir em ferro, com 02 folhas - 2,10 m x 2,48 m</t>
  </si>
  <si>
    <t>Portão de abrir em ferro, com 02 folhas - 4,24 m x 2,48 m</t>
  </si>
  <si>
    <t xml:space="preserve">un </t>
  </si>
  <si>
    <t>FORNECEDOR</t>
  </si>
  <si>
    <t>CUSTO UNITÁRIO (R$)</t>
  </si>
  <si>
    <t>CUSTO TOTAL (R$)</t>
  </si>
  <si>
    <t>CNPJ</t>
  </si>
  <si>
    <t>TOTAL MATERIAL (VALOR CORRESPONDENTE À MÉDIA ARITMÉTICA DOS CUSTOS APRESENTADOS PELOS FORNECEDORES)</t>
  </si>
  <si>
    <t>METALGRADE - PISOS INDUSTRIAIS S/A</t>
  </si>
  <si>
    <t>46.307.989/0001-81</t>
  </si>
  <si>
    <t>Ferreiro/armador</t>
  </si>
  <si>
    <t>Ajudante de ferreiro</t>
  </si>
  <si>
    <t>B.01.000.010121</t>
  </si>
  <si>
    <t>B.01.000.010122</t>
  </si>
  <si>
    <t>Gradil de ferro eletrossoldado, malha 50 m x 200 mm, inclusive postes com sapata e pintura</t>
  </si>
  <si>
    <r>
      <t>OBSERVAÇÃO:</t>
    </r>
    <r>
      <rPr>
        <sz val="12"/>
        <color theme="1"/>
        <rFont val="Times New Roman"/>
        <family val="1"/>
      </rPr>
      <t xml:space="preserve"> Índices de produtividade da mão de obra calculados com base nos coeficientes estabelecidos pela Composição de Custos da CDHU nº 190 para o item </t>
    </r>
    <r>
      <rPr>
        <b/>
        <sz val="12"/>
        <color theme="1"/>
        <rFont val="Times New Roman"/>
        <family val="1"/>
      </rPr>
      <t>34.05.320 (Portão de ferro perfilado, tipo parque)</t>
    </r>
    <r>
      <rPr>
        <sz val="12"/>
        <color theme="1"/>
        <rFont val="Times New Roman"/>
        <family val="1"/>
      </rPr>
      <t>, serviço semelhante ao que se refere este orçamento, multiplicados pela área do portão (</t>
    </r>
    <r>
      <rPr>
        <b/>
        <sz val="12"/>
        <color theme="1"/>
        <rFont val="Times New Roman"/>
        <family val="1"/>
      </rPr>
      <t>4,24 m x 2,48 m = 10,5152 m²</t>
    </r>
    <r>
      <rPr>
        <sz val="12"/>
        <color theme="1"/>
        <rFont val="Times New Roman"/>
        <family val="1"/>
      </rPr>
      <t>).</t>
    </r>
  </si>
  <si>
    <r>
      <t>OBSERVAÇÃO:</t>
    </r>
    <r>
      <rPr>
        <sz val="12"/>
        <color theme="1"/>
        <rFont val="Times New Roman"/>
        <family val="1"/>
      </rPr>
      <t xml:space="preserve"> Índices de produtividade da mão de obra calculados com base nos coeficientes estabelecidos pela Composição de Custos da CDHU nº 190 para o item </t>
    </r>
    <r>
      <rPr>
        <b/>
        <sz val="12"/>
        <color theme="1"/>
        <rFont val="Times New Roman"/>
        <family val="1"/>
      </rPr>
      <t>34.05.320 (Portão de ferro perfilado, tipo parque)</t>
    </r>
    <r>
      <rPr>
        <sz val="12"/>
        <color theme="1"/>
        <rFont val="Times New Roman"/>
        <family val="1"/>
      </rPr>
      <t>, serviço semelhante ao que se refere este orçamento, multiplicados pela área do portão (</t>
    </r>
    <r>
      <rPr>
        <b/>
        <sz val="12"/>
        <color theme="1"/>
        <rFont val="Times New Roman"/>
        <family val="1"/>
      </rPr>
      <t>2,10 m x 2,48 m = 5,2080 m²</t>
    </r>
    <r>
      <rPr>
        <sz val="12"/>
        <color theme="1"/>
        <rFont val="Times New Roman"/>
        <family val="1"/>
      </rPr>
      <t>).</t>
    </r>
  </si>
  <si>
    <r>
      <t>OBSERVAÇÃO:</t>
    </r>
    <r>
      <rPr>
        <sz val="12"/>
        <color theme="1"/>
        <rFont val="Times New Roman"/>
        <family val="1"/>
      </rPr>
      <t xml:space="preserve"> Índices de produtividade da mão de obra calculados com base nos coeficientes estabelecidos pela Composição de Custos da CDHU nº 190 para o item </t>
    </r>
    <r>
      <rPr>
        <b/>
        <sz val="12"/>
        <color theme="1"/>
        <rFont val="Times New Roman"/>
        <family val="1"/>
      </rPr>
      <t>34.05.320 (Portão de ferro perfilado, tipo parque)</t>
    </r>
    <r>
      <rPr>
        <sz val="12"/>
        <color theme="1"/>
        <rFont val="Times New Roman"/>
        <family val="1"/>
      </rPr>
      <t>, serviço semelhante ao que se refere este orçamento, multiplicados pela área do portão (</t>
    </r>
    <r>
      <rPr>
        <b/>
        <sz val="12"/>
        <color theme="1"/>
        <rFont val="Times New Roman"/>
        <family val="1"/>
      </rPr>
      <t>3,58 m x 2,48 m = 8,8784 m²</t>
    </r>
    <r>
      <rPr>
        <sz val="12"/>
        <color theme="1"/>
        <rFont val="Times New Roman"/>
        <family val="1"/>
      </rPr>
      <t>).</t>
    </r>
  </si>
  <si>
    <t>CUSTO UNITÁRIO (R$ / m²)</t>
  </si>
  <si>
    <t>TOTAL MATERIAL (VALOR CORRESPONDENTE À MÉDIA ARITMÉTICA DOS CUSTOS APRESENTADOS PELOS FORNECEDORES) - CUSTO UNITÁRIO (R$ / m²) - ÁREA TOTAL DO GRADIL = 104,26 m²</t>
  </si>
  <si>
    <t>PISO</t>
  </si>
  <si>
    <t>11.03.090</t>
  </si>
  <si>
    <t>Concreto preparado no local, fck = 20 MPa</t>
  </si>
  <si>
    <t>10.02.020</t>
  </si>
  <si>
    <t>Armadura em tela soldada de aço</t>
  </si>
  <si>
    <t>Kg</t>
  </si>
  <si>
    <t>4.2</t>
  </si>
  <si>
    <t>4.3</t>
  </si>
  <si>
    <t>4.4</t>
  </si>
  <si>
    <t>6.3</t>
  </si>
  <si>
    <t>Memória de Cálculo</t>
  </si>
  <si>
    <t xml:space="preserve">Item </t>
  </si>
  <si>
    <t>Unidades:</t>
  </si>
  <si>
    <t>Profundidade:</t>
  </si>
  <si>
    <t>Largura:</t>
  </si>
  <si>
    <t>Comprimento:</t>
  </si>
  <si>
    <t>Mureta adjacente a entrada e ao P2</t>
  </si>
  <si>
    <t>Altura:</t>
  </si>
  <si>
    <t>Área:</t>
  </si>
  <si>
    <t>Mureta adjacente ao poste Entrada Energia</t>
  </si>
  <si>
    <t>largura:</t>
  </si>
  <si>
    <t>2 faces de 5,49 x 0,40</t>
  </si>
  <si>
    <t>1 face de 5,49 x 0,15</t>
  </si>
  <si>
    <t>Total:</t>
  </si>
  <si>
    <t>2 faces de 1,94 x 0,40</t>
  </si>
  <si>
    <t>1 face de 1,94 x 0,15</t>
  </si>
  <si>
    <t>Piso de concreto para estacionar veículo</t>
  </si>
  <si>
    <t>Espessura:</t>
  </si>
  <si>
    <t>Volume:</t>
  </si>
  <si>
    <t>Estimativa de 40% da área</t>
  </si>
  <si>
    <t>kg</t>
  </si>
  <si>
    <t>Muro existente nos fundos</t>
  </si>
  <si>
    <t>comprimento:</t>
  </si>
  <si>
    <t>Coluna concreto</t>
  </si>
  <si>
    <t>Mureta adjacente a entrada e ao P2 (a construir)</t>
  </si>
  <si>
    <t xml:space="preserve">Mureta adjacente ao poste Entrada Energia (a construir) </t>
  </si>
  <si>
    <t>Mureta adjacente ao P1</t>
  </si>
  <si>
    <t>2 faces de 3,51 x 0,40</t>
  </si>
  <si>
    <t>1 face de 3,51 x 0,15</t>
  </si>
  <si>
    <t>Mureta entre P1 e P2</t>
  </si>
  <si>
    <t>2 faces de 6,53 x 0,40</t>
  </si>
  <si>
    <t>1 face de 6,53 x 0,15</t>
  </si>
  <si>
    <t>Mureta entre P1 e poste Entrada Energia</t>
  </si>
  <si>
    <t>2 faces de 5,87 x 0,40</t>
  </si>
  <si>
    <t>1 face de 5,87 x 0,15</t>
  </si>
  <si>
    <t>Mureta entre poste Entrada Energia e a esquina</t>
  </si>
  <si>
    <t>2 faces de 1,54 x 0,40</t>
  </si>
  <si>
    <t>1 face de 1,54 x 0,15</t>
  </si>
  <si>
    <t>2 faces de 21,87 x 0,40</t>
  </si>
  <si>
    <t>1 face de 21,87 x 0,15</t>
  </si>
  <si>
    <t>Mureta entre a esquina e o P3</t>
  </si>
  <si>
    <t>Mureta entre o P3 e o muro existente</t>
  </si>
  <si>
    <t>2 faces de 9,73 x 0,40</t>
  </si>
  <si>
    <t>1 face de 9,73 x 0,15</t>
  </si>
  <si>
    <t>Muro existente</t>
  </si>
  <si>
    <t>Mureta adjacente a Cozinha</t>
  </si>
  <si>
    <t>Mureta adjacente a Cozinha (a construir)</t>
  </si>
  <si>
    <t>2 faces de 1,68 x 0,40</t>
  </si>
  <si>
    <t>1 face de 1,68 x 0,15</t>
  </si>
  <si>
    <t>1 face de 9,73 x 0,40</t>
  </si>
  <si>
    <t>2.7</t>
  </si>
  <si>
    <t>03.02.040</t>
  </si>
  <si>
    <t>Demolição manual de alvenaria de elevação ou elemento vazado, incluindo revestimento</t>
  </si>
  <si>
    <t>COMERCIAL ROSALLES COMERCIO DE MATERIAIS DE CONSTRUCAO LTDA</t>
  </si>
  <si>
    <t>05.080.020/0001-33</t>
  </si>
  <si>
    <r>
      <t>OBSERVAÇÃO:</t>
    </r>
    <r>
      <rPr>
        <sz val="12"/>
        <rFont val="Times New Roman"/>
        <family val="1"/>
      </rPr>
      <t xml:space="preserve"> Índices de produtividade da mão de obra calculados com base nos coeficientes estabelecidos pela Composição de Custos da CDHU nº 190 para o item </t>
    </r>
    <r>
      <rPr>
        <b/>
        <sz val="12"/>
        <rFont val="Times New Roman"/>
        <family val="1"/>
      </rPr>
      <t>34.05.310 (Gradil de ferro perfilado, tipo parque)</t>
    </r>
    <r>
      <rPr>
        <sz val="12"/>
        <rFont val="Times New Roman"/>
        <family val="1"/>
      </rPr>
      <t>, serviço semelhante ao que se refere este orçamento.Área total de gradil =</t>
    </r>
    <r>
      <rPr>
        <b/>
        <sz val="12"/>
        <rFont val="Times New Roman"/>
        <family val="1"/>
      </rPr>
      <t>66,31 m²</t>
    </r>
    <r>
      <rPr>
        <sz val="12"/>
        <rFont val="Times New Roman"/>
        <family val="1"/>
      </rPr>
      <t>.</t>
    </r>
  </si>
  <si>
    <t>COMPOSIÇÃO DE CUSTO UNITÁRIO DO ITEM 4.1</t>
  </si>
  <si>
    <t>COMPOSIÇÃO DE CUSTO UNITÁRIO DO ITEM 4.2</t>
  </si>
  <si>
    <t>COMPOSIÇÃO DE CUSTO UNITÁRIO DO ITEM 4.3</t>
  </si>
  <si>
    <t>COMPOSIÇÃO DE CUSTO UNITÁRIO DO ITEM 4.4</t>
  </si>
  <si>
    <t>MURETA EM ALVENARIA</t>
  </si>
  <si>
    <t>BIANCA OLIVEIRA DA SILVA</t>
  </si>
  <si>
    <t>Engenheira Civil - CREA/SP 5070438158</t>
  </si>
  <si>
    <t>COMPOSIÇÃO (**)</t>
  </si>
  <si>
    <t xml:space="preserve">(**)COMPOSIÇÕES DE CUSTOS UNITÁRIOS DOS ITENS 4.1, 4.2, 4.3 E 4.4, ANEXAS.
</t>
  </si>
  <si>
    <t>Portão de abrir em aço galvanizado, com 02 folhas - 4,24 m x 2,48 m (incluso postes e pintura eletrostática)</t>
  </si>
  <si>
    <t>Portão de abrir em aço galvanizado, com 02 folhas - 2,10 m x 2,48 m (incluso postes e pintura eletrostática)</t>
  </si>
  <si>
    <t>Portão de abrir em aço galvanizado, com 02 folhas - 3,58 m x 2,48 m (incluso e postes e pintura eletrostática)</t>
  </si>
  <si>
    <t>Portão de abrir em aço galvanizado, com 02 folhas - 3,58 m x 2,48 m (incluso postes e pintura eletrostática)</t>
  </si>
  <si>
    <t>Gradil de aço galvanizado eletrossoldado tipo parque em malha 50 m x 200 mm, inclusive postes com sapata e pintura eletrostática</t>
  </si>
  <si>
    <r>
      <t>Item 4.1 Gradil de aço galvanizado eletrossoldado tipo parque ou similar (valor percentual significativo - 29,04</t>
    </r>
    <r>
      <rPr>
        <b/>
        <sz val="10"/>
        <color rgb="FFFF0000"/>
        <rFont val="Arial"/>
        <family val="2"/>
      </rPr>
      <t>%</t>
    </r>
    <r>
      <rPr>
        <sz val="10"/>
        <color rgb="FFFF0000"/>
        <rFont val="Arial"/>
        <family val="2"/>
      </rPr>
      <t>).</t>
    </r>
  </si>
  <si>
    <t>SERRALHERIA PRATA              JOÃO CARLOS FERINI ME</t>
  </si>
  <si>
    <t>72.844.301/0001-02</t>
  </si>
  <si>
    <t>(*) SINAPI 07/2023 - ENCARGOS SOCIAIS DESONERADOS: 85,56% (HORA); 47,57% (MÊS).</t>
  </si>
  <si>
    <t>Itatinga, 25 de agosto de 2023.</t>
  </si>
  <si>
    <t>BOLETIM CDHU 190 (DESONERADO - 05/2023); SINAPI 07/2023 (DESONERADO)</t>
  </si>
  <si>
    <t>TOTAL ITEM 4.1</t>
  </si>
  <si>
    <t>TOTAL ITEM 4.2</t>
  </si>
  <si>
    <t>TOTAL ITEM 4.3</t>
  </si>
  <si>
    <t>TOTAL ITEM 4.4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</si>
</sst>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8" formatCode="&quot;R$&quot;\ #,##0.00;[Red]\-&quot;R$&quot;\ #,##0.00"/>
    <numFmt numFmtId="43" formatCode="_-* #,##0.00_-;\-* #,##0.00_-;_-* &quot;-&quot;??_-;_-@_-"/>
    <numFmt numFmtId="164" formatCode="&quot;R$ &quot;\ \ #,##0.00"/>
    <numFmt numFmtId="165" formatCode="_(* #,##0.00_);_(* \(#,##0.00\);_(* &quot;-&quot;??_);_(@_)"/>
    <numFmt numFmtId="166" formatCode="0.00000000%"/>
    <numFmt numFmtId="167" formatCode="0.000000%"/>
    <numFmt numFmtId="168" formatCode="0.000"/>
    <numFmt numFmtId="169" formatCode="&quot;R$&quot;\ #,##0.00000;[Red]\-&quot;R$&quot;\ #,##0.00000"/>
    <numFmt numFmtId="170" formatCode="0.0000"/>
  </numFmts>
  <fonts count="39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1"/>
      <color rgb="FF00000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9"/>
      <color theme="0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9"/>
      <name val="Arial"/>
      <family val="2"/>
    </font>
    <font>
      <sz val="9"/>
      <color rgb="FFFF0000"/>
      <name val="Arial"/>
      <family val="2"/>
    </font>
    <font>
      <b/>
      <sz val="10"/>
      <color rgb="FFFF0000"/>
      <name val="Arial"/>
      <family val="2"/>
    </font>
    <font>
      <sz val="9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sz val="12"/>
      <color rgb="FFFF0000"/>
      <name val="Times New Roman"/>
      <family val="1"/>
    </font>
    <font>
      <sz val="10"/>
      <color rgb="FFFF0000"/>
      <name val="Arial"/>
      <family val="2"/>
    </font>
    <font>
      <b/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37437055574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6">
    <xf numFmtId="0" fontId="0" fillId="0" borderId="0"/>
    <xf numFmtId="9" fontId="13" fillId="0" borderId="0" applyFont="0" applyFill="0" applyBorder="0" applyAlignment="0" applyProtection="0"/>
    <xf numFmtId="0" fontId="13" fillId="0" borderId="0"/>
    <xf numFmtId="0" fontId="13" fillId="0" borderId="0"/>
    <xf numFmtId="9" fontId="13" fillId="0" borderId="0" applyBorder="0" applyProtection="0"/>
    <xf numFmtId="0" fontId="18" fillId="0" borderId="0"/>
    <xf numFmtId="0" fontId="6" fillId="0" borderId="0"/>
    <xf numFmtId="9" fontId="19" fillId="0" borderId="0" applyFont="0" applyFill="0" applyBorder="0" applyAlignment="0" applyProtection="0"/>
    <xf numFmtId="0" fontId="21" fillId="0" borderId="0"/>
    <xf numFmtId="43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4" fillId="0" borderId="0"/>
    <xf numFmtId="0" fontId="3" fillId="0" borderId="0"/>
  </cellStyleXfs>
  <cellXfs count="259">
    <xf numFmtId="0" fontId="0" fillId="0" borderId="0" xfId="0"/>
    <xf numFmtId="0" fontId="9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left" vertical="center" wrapText="1"/>
    </xf>
    <xf numFmtId="2" fontId="9" fillId="4" borderId="1" xfId="0" applyNumberFormat="1" applyFont="1" applyFill="1" applyBorder="1" applyAlignment="1">
      <alignment horizontal="center" vertical="center"/>
    </xf>
    <xf numFmtId="8" fontId="10" fillId="2" borderId="1" xfId="0" applyNumberFormat="1" applyFont="1" applyFill="1" applyBorder="1" applyAlignment="1">
      <alignment horizontal="center" vertical="center"/>
    </xf>
    <xf numFmtId="8" fontId="9" fillId="0" borderId="0" xfId="0" applyNumberFormat="1" applyFont="1"/>
    <xf numFmtId="0" fontId="15" fillId="0" borderId="0" xfId="0" applyFont="1"/>
    <xf numFmtId="0" fontId="15" fillId="4" borderId="1" xfId="0" applyFont="1" applyFill="1" applyBorder="1" applyAlignment="1">
      <alignment horizontal="left" vertical="center" wrapText="1"/>
    </xf>
    <xf numFmtId="2" fontId="15" fillId="0" borderId="0" xfId="0" applyNumberFormat="1" applyFont="1"/>
    <xf numFmtId="0" fontId="15" fillId="0" borderId="1" xfId="0" applyFont="1" applyBorder="1" applyAlignment="1">
      <alignment horizontal="center" vertical="center"/>
    </xf>
    <xf numFmtId="2" fontId="15" fillId="0" borderId="1" xfId="0" applyNumberFormat="1" applyFont="1" applyBorder="1" applyAlignment="1">
      <alignment horizontal="center" vertical="center"/>
    </xf>
    <xf numFmtId="2" fontId="16" fillId="0" borderId="1" xfId="0" applyNumberFormat="1" applyFont="1" applyBorder="1" applyAlignment="1">
      <alignment horizontal="center" vertical="center"/>
    </xf>
    <xf numFmtId="2" fontId="18" fillId="0" borderId="1" xfId="5" applyNumberFormat="1" applyBorder="1" applyAlignment="1">
      <alignment horizontal="center"/>
    </xf>
    <xf numFmtId="2" fontId="13" fillId="0" borderId="1" xfId="5" applyNumberFormat="1" applyFont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2" fontId="10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9" fillId="0" borderId="1" xfId="0" applyNumberFormat="1" applyFont="1" applyBorder="1" applyAlignment="1">
      <alignment horizontal="center" vertical="center"/>
    </xf>
    <xf numFmtId="2" fontId="9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2" fontId="11" fillId="4" borderId="1" xfId="0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2" fontId="9" fillId="0" borderId="0" xfId="0" applyNumberFormat="1" applyFont="1" applyBorder="1" applyAlignment="1">
      <alignment horizontal="center"/>
    </xf>
    <xf numFmtId="2" fontId="10" fillId="0" borderId="0" xfId="0" applyNumberFormat="1" applyFont="1" applyBorder="1" applyAlignment="1">
      <alignment horizontal="center"/>
    </xf>
    <xf numFmtId="10" fontId="20" fillId="0" borderId="0" xfId="7" applyNumberFormat="1" applyFont="1"/>
    <xf numFmtId="0" fontId="7" fillId="0" borderId="0" xfId="3" applyFont="1" applyAlignment="1">
      <alignment horizontal="left" vertical="center" wrapText="1" readingOrder="2"/>
    </xf>
    <xf numFmtId="0" fontId="10" fillId="0" borderId="1" xfId="0" applyFont="1" applyBorder="1" applyAlignment="1">
      <alignment horizontal="center"/>
    </xf>
    <xf numFmtId="10" fontId="10" fillId="2" borderId="1" xfId="0" applyNumberFormat="1" applyFont="1" applyFill="1" applyBorder="1" applyAlignment="1">
      <alignment horizontal="center" vertical="center"/>
    </xf>
    <xf numFmtId="2" fontId="9" fillId="0" borderId="0" xfId="0" applyNumberFormat="1" applyFont="1"/>
    <xf numFmtId="0" fontId="22" fillId="2" borderId="1" xfId="0" applyFont="1" applyFill="1" applyBorder="1" applyAlignment="1">
      <alignment vertical="center"/>
    </xf>
    <xf numFmtId="0" fontId="25" fillId="0" borderId="0" xfId="0" applyFont="1"/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2" fontId="10" fillId="6" borderId="1" xfId="0" applyNumberFormat="1" applyFont="1" applyFill="1" applyBorder="1" applyAlignment="1">
      <alignment horizontal="center"/>
    </xf>
    <xf numFmtId="2" fontId="10" fillId="2" borderId="1" xfId="0" applyNumberFormat="1" applyFont="1" applyFill="1" applyBorder="1" applyAlignment="1">
      <alignment horizontal="center"/>
    </xf>
    <xf numFmtId="0" fontId="22" fillId="0" borderId="0" xfId="0" applyFont="1" applyBorder="1" applyAlignment="1">
      <alignment vertical="center"/>
    </xf>
    <xf numFmtId="0" fontId="22" fillId="0" borderId="0" xfId="0" applyFont="1" applyBorder="1" applyAlignment="1">
      <alignment horizontal="center" vertical="center"/>
    </xf>
    <xf numFmtId="10" fontId="10" fillId="0" borderId="0" xfId="0" applyNumberFormat="1" applyFont="1" applyBorder="1" applyAlignment="1">
      <alignment horizontal="center"/>
    </xf>
    <xf numFmtId="0" fontId="22" fillId="0" borderId="1" xfId="0" applyFont="1" applyBorder="1" applyAlignment="1">
      <alignment horizontal="center"/>
    </xf>
    <xf numFmtId="166" fontId="9" fillId="0" borderId="0" xfId="7" applyNumberFormat="1" applyFont="1"/>
    <xf numFmtId="0" fontId="13" fillId="5" borderId="0" xfId="3" applyFont="1" applyFill="1" applyBorder="1" applyAlignment="1">
      <alignment horizontal="left" vertical="top"/>
    </xf>
    <xf numFmtId="0" fontId="12" fillId="5" borderId="0" xfId="3" applyFont="1" applyFill="1" applyBorder="1" applyAlignment="1">
      <alignment vertical="top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2" fontId="9" fillId="0" borderId="0" xfId="7" applyNumberFormat="1" applyFont="1"/>
    <xf numFmtId="1" fontId="15" fillId="0" borderId="0" xfId="0" applyNumberFormat="1" applyFont="1"/>
    <xf numFmtId="0" fontId="9" fillId="0" borderId="1" xfId="0" applyNumberFormat="1" applyFont="1" applyBorder="1" applyAlignment="1">
      <alignment horizontal="center" vertical="center"/>
    </xf>
    <xf numFmtId="0" fontId="9" fillId="0" borderId="2" xfId="0" applyNumberFormat="1" applyFont="1" applyBorder="1" applyAlignment="1">
      <alignment horizontal="center" vertical="center"/>
    </xf>
    <xf numFmtId="1" fontId="9" fillId="0" borderId="0" xfId="0" applyNumberFormat="1" applyFont="1" applyBorder="1" applyAlignment="1">
      <alignment horizontal="center"/>
    </xf>
    <xf numFmtId="167" fontId="9" fillId="0" borderId="1" xfId="7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8" fontId="10" fillId="0" borderId="1" xfId="0" applyNumberFormat="1" applyFont="1" applyBorder="1" applyAlignment="1">
      <alignment horizontal="center" vertical="center"/>
    </xf>
    <xf numFmtId="168" fontId="9" fillId="0" borderId="1" xfId="0" applyNumberFormat="1" applyFont="1" applyBorder="1" applyAlignment="1">
      <alignment horizontal="center"/>
    </xf>
    <xf numFmtId="0" fontId="12" fillId="3" borderId="1" xfId="3" applyFont="1" applyFill="1" applyBorder="1" applyAlignment="1" applyProtection="1">
      <alignment horizontal="center" vertical="center"/>
      <protection locked="0"/>
    </xf>
    <xf numFmtId="0" fontId="7" fillId="0" borderId="0" xfId="3" applyFont="1" applyAlignment="1">
      <alignment horizontal="center" vertical="center" readingOrder="2"/>
    </xf>
    <xf numFmtId="0" fontId="8" fillId="0" borderId="0" xfId="3" applyFont="1" applyAlignment="1">
      <alignment vertical="center" readingOrder="2"/>
    </xf>
    <xf numFmtId="0" fontId="27" fillId="0" borderId="0" xfId="12" applyFont="1"/>
    <xf numFmtId="0" fontId="7" fillId="0" borderId="0" xfId="3" applyFont="1" applyAlignment="1">
      <alignment vertical="center" readingOrder="2"/>
    </xf>
    <xf numFmtId="0" fontId="28" fillId="7" borderId="1" xfId="12" applyFont="1" applyFill="1" applyBorder="1" applyAlignment="1">
      <alignment horizontal="center"/>
    </xf>
    <xf numFmtId="0" fontId="27" fillId="0" borderId="1" xfId="12" applyFont="1" applyBorder="1"/>
    <xf numFmtId="0" fontId="29" fillId="0" borderId="1" xfId="12" applyFont="1" applyBorder="1" applyAlignment="1">
      <alignment horizontal="center" vertical="center"/>
    </xf>
    <xf numFmtId="10" fontId="29" fillId="0" borderId="1" xfId="13" applyNumberFormat="1" applyFont="1" applyBorder="1" applyAlignment="1">
      <alignment horizontal="center" vertical="center"/>
    </xf>
    <xf numFmtId="0" fontId="28" fillId="0" borderId="1" xfId="12" applyFont="1" applyBorder="1" applyAlignment="1">
      <alignment horizontal="center" vertical="center"/>
    </xf>
    <xf numFmtId="10" fontId="28" fillId="0" borderId="1" xfId="7" applyNumberFormat="1" applyFont="1" applyBorder="1" applyAlignment="1">
      <alignment horizontal="center" vertical="center"/>
    </xf>
    <xf numFmtId="10" fontId="13" fillId="0" borderId="1" xfId="3" applyNumberFormat="1" applyFont="1" applyFill="1" applyBorder="1" applyAlignment="1" applyProtection="1">
      <alignment horizontal="center" vertical="center"/>
      <protection locked="0"/>
    </xf>
    <xf numFmtId="0" fontId="28" fillId="7" borderId="1" xfId="12" applyFont="1" applyFill="1" applyBorder="1" applyAlignment="1">
      <alignment horizontal="center" vertical="center"/>
    </xf>
    <xf numFmtId="164" fontId="12" fillId="3" borderId="8" xfId="3" applyNumberFormat="1" applyFont="1" applyFill="1" applyBorder="1" applyAlignment="1" applyProtection="1">
      <alignment vertical="center"/>
      <protection locked="0"/>
    </xf>
    <xf numFmtId="164" fontId="12" fillId="3" borderId="7" xfId="3" applyNumberFormat="1" applyFont="1" applyFill="1" applyBorder="1" applyAlignment="1" applyProtection="1">
      <alignment vertical="center"/>
      <protection locked="0"/>
    </xf>
    <xf numFmtId="0" fontId="22" fillId="0" borderId="1" xfId="0" applyFont="1" applyFill="1" applyBorder="1" applyAlignment="1">
      <alignment vertical="center"/>
    </xf>
    <xf numFmtId="14" fontId="13" fillId="0" borderId="1" xfId="1" quotePrefix="1" applyNumberFormat="1" applyFont="1" applyFill="1" applyBorder="1" applyAlignment="1" applyProtection="1">
      <alignment horizontal="center" vertical="center"/>
    </xf>
    <xf numFmtId="169" fontId="9" fillId="0" borderId="0" xfId="0" applyNumberFormat="1" applyFont="1"/>
    <xf numFmtId="167" fontId="9" fillId="0" borderId="0" xfId="7" applyNumberFormat="1" applyFont="1"/>
    <xf numFmtId="0" fontId="31" fillId="0" borderId="0" xfId="15" applyFont="1"/>
    <xf numFmtId="0" fontId="31" fillId="0" borderId="0" xfId="15" applyFont="1" applyBorder="1" applyAlignment="1">
      <alignment horizontal="center" vertical="center"/>
    </xf>
    <xf numFmtId="0" fontId="31" fillId="0" borderId="0" xfId="15" applyFont="1" applyBorder="1" applyAlignment="1">
      <alignment horizontal="right" vertical="center"/>
    </xf>
    <xf numFmtId="0" fontId="34" fillId="8" borderId="2" xfId="15" applyFont="1" applyFill="1" applyBorder="1" applyAlignment="1">
      <alignment horizontal="center" vertical="center"/>
    </xf>
    <xf numFmtId="0" fontId="34" fillId="8" borderId="1" xfId="15" applyFont="1" applyFill="1" applyBorder="1" applyAlignment="1">
      <alignment horizontal="center" vertical="center"/>
    </xf>
    <xf numFmtId="0" fontId="34" fillId="8" borderId="1" xfId="15" applyFont="1" applyFill="1" applyBorder="1" applyAlignment="1">
      <alignment horizontal="center" vertical="center" wrapText="1"/>
    </xf>
    <xf numFmtId="0" fontId="35" fillId="0" borderId="1" xfId="15" applyFont="1" applyBorder="1" applyAlignment="1">
      <alignment horizontal="center"/>
    </xf>
    <xf numFmtId="0" fontId="31" fillId="0" borderId="1" xfId="15" applyFont="1" applyBorder="1" applyAlignment="1">
      <alignment horizontal="center"/>
    </xf>
    <xf numFmtId="0" fontId="31" fillId="0" borderId="1" xfId="15" applyFont="1" applyBorder="1"/>
    <xf numFmtId="0" fontId="31" fillId="0" borderId="1" xfId="15" applyFont="1" applyBorder="1" applyAlignment="1">
      <alignment horizontal="center" vertical="center"/>
    </xf>
    <xf numFmtId="8" fontId="31" fillId="0" borderId="1" xfId="15" applyNumberFormat="1" applyFont="1" applyBorder="1" applyAlignment="1">
      <alignment horizontal="center"/>
    </xf>
    <xf numFmtId="8" fontId="31" fillId="0" borderId="1" xfId="15" applyNumberFormat="1" applyFont="1" applyBorder="1" applyAlignment="1">
      <alignment horizontal="center" vertical="center"/>
    </xf>
    <xf numFmtId="8" fontId="34" fillId="8" borderId="1" xfId="15" applyNumberFormat="1" applyFont="1" applyFill="1" applyBorder="1" applyAlignment="1">
      <alignment horizontal="center" vertical="center"/>
    </xf>
    <xf numFmtId="0" fontId="36" fillId="0" borderId="2" xfId="15" applyFont="1" applyBorder="1" applyAlignment="1">
      <alignment horizontal="center"/>
    </xf>
    <xf numFmtId="0" fontId="36" fillId="0" borderId="3" xfId="15" applyFont="1" applyBorder="1" applyAlignment="1">
      <alignment horizontal="center"/>
    </xf>
    <xf numFmtId="0" fontId="36" fillId="0" borderId="3" xfId="15" applyFont="1" applyBorder="1" applyAlignment="1">
      <alignment horizontal="center" vertical="center"/>
    </xf>
    <xf numFmtId="0" fontId="36" fillId="0" borderId="4" xfId="15" applyFont="1" applyBorder="1" applyAlignment="1">
      <alignment horizontal="center" vertical="center"/>
    </xf>
    <xf numFmtId="8" fontId="31" fillId="0" borderId="0" xfId="15" applyNumberFormat="1" applyFont="1"/>
    <xf numFmtId="8" fontId="33" fillId="0" borderId="1" xfId="15" applyNumberFormat="1" applyFont="1" applyBorder="1" applyAlignment="1">
      <alignment horizontal="center" vertical="center"/>
    </xf>
    <xf numFmtId="10" fontId="33" fillId="0" borderId="1" xfId="15" applyNumberFormat="1" applyFont="1" applyBorder="1" applyAlignment="1">
      <alignment horizontal="center" vertical="center"/>
    </xf>
    <xf numFmtId="2" fontId="31" fillId="0" borderId="0" xfId="15" applyNumberFormat="1" applyFont="1"/>
    <xf numFmtId="8" fontId="34" fillId="9" borderId="1" xfId="15" applyNumberFormat="1" applyFont="1" applyFill="1" applyBorder="1" applyAlignment="1">
      <alignment horizontal="center"/>
    </xf>
    <xf numFmtId="0" fontId="31" fillId="0" borderId="0" xfId="15" applyFont="1" applyFill="1"/>
    <xf numFmtId="0" fontId="31" fillId="0" borderId="0" xfId="15" applyFont="1" applyFill="1" applyAlignment="1">
      <alignment horizontal="center"/>
    </xf>
    <xf numFmtId="0" fontId="34" fillId="0" borderId="0" xfId="15" applyFont="1" applyFill="1" applyBorder="1" applyAlignment="1">
      <alignment horizontal="center"/>
    </xf>
    <xf numFmtId="8" fontId="34" fillId="0" borderId="0" xfId="15" applyNumberFormat="1" applyFont="1" applyFill="1" applyBorder="1" applyAlignment="1">
      <alignment horizontal="center"/>
    </xf>
    <xf numFmtId="0" fontId="31" fillId="0" borderId="0" xfId="15" applyFont="1" applyAlignment="1">
      <alignment horizontal="center" vertical="center"/>
    </xf>
    <xf numFmtId="0" fontId="31" fillId="0" borderId="0" xfId="15" applyFont="1" applyAlignment="1">
      <alignment vertical="center"/>
    </xf>
    <xf numFmtId="170" fontId="31" fillId="0" borderId="1" xfId="15" applyNumberFormat="1" applyFont="1" applyBorder="1" applyAlignment="1">
      <alignment horizontal="center" vertical="center"/>
    </xf>
    <xf numFmtId="0" fontId="35" fillId="0" borderId="1" xfId="15" applyFont="1" applyBorder="1" applyAlignment="1">
      <alignment horizontal="center" wrapText="1"/>
    </xf>
    <xf numFmtId="0" fontId="35" fillId="0" borderId="1" xfId="15" applyFont="1" applyBorder="1" applyAlignment="1">
      <alignment horizontal="center" vertical="center"/>
    </xf>
    <xf numFmtId="169" fontId="31" fillId="0" borderId="0" xfId="15" applyNumberFormat="1" applyFont="1"/>
    <xf numFmtId="8" fontId="32" fillId="8" borderId="1" xfId="15" applyNumberFormat="1" applyFont="1" applyFill="1" applyBorder="1" applyAlignment="1">
      <alignment horizontal="center" vertical="center"/>
    </xf>
    <xf numFmtId="0" fontId="38" fillId="0" borderId="0" xfId="0" applyFont="1"/>
    <xf numFmtId="0" fontId="2" fillId="0" borderId="0" xfId="0" applyFont="1"/>
    <xf numFmtId="0" fontId="1" fillId="0" borderId="0" xfId="0" applyFont="1"/>
    <xf numFmtId="0" fontId="10" fillId="8" borderId="1" xfId="0" applyFont="1" applyFill="1" applyBorder="1" applyAlignment="1">
      <alignment horizontal="center" vertical="center"/>
    </xf>
    <xf numFmtId="0" fontId="10" fillId="8" borderId="1" xfId="0" applyFont="1" applyFill="1" applyBorder="1" applyAlignment="1">
      <alignment horizontal="left" vertical="center" wrapText="1"/>
    </xf>
    <xf numFmtId="2" fontId="10" fillId="8" borderId="1" xfId="0" applyNumberFormat="1" applyFont="1" applyFill="1" applyBorder="1" applyAlignment="1">
      <alignment horizontal="center" vertical="center"/>
    </xf>
    <xf numFmtId="8" fontId="10" fillId="8" borderId="1" xfId="0" applyNumberFormat="1" applyFont="1" applyFill="1" applyBorder="1" applyAlignment="1">
      <alignment horizontal="center" vertical="center"/>
    </xf>
    <xf numFmtId="10" fontId="10" fillId="8" borderId="1" xfId="0" applyNumberFormat="1" applyFont="1" applyFill="1" applyBorder="1" applyAlignment="1">
      <alignment horizontal="center" vertical="center"/>
    </xf>
    <xf numFmtId="166" fontId="10" fillId="0" borderId="0" xfId="7" applyNumberFormat="1" applyFont="1" applyFill="1"/>
    <xf numFmtId="169" fontId="10" fillId="0" borderId="0" xfId="0" applyNumberFormat="1" applyFont="1" applyFill="1"/>
    <xf numFmtId="167" fontId="10" fillId="0" borderId="0" xfId="7" applyNumberFormat="1" applyFont="1" applyFill="1"/>
    <xf numFmtId="0" fontId="10" fillId="0" borderId="0" xfId="0" applyFont="1" applyFill="1"/>
    <xf numFmtId="0" fontId="24" fillId="8" borderId="1" xfId="0" applyFont="1" applyFill="1" applyBorder="1" applyAlignment="1">
      <alignment horizontal="center" vertical="center"/>
    </xf>
    <xf numFmtId="2" fontId="24" fillId="8" borderId="1" xfId="0" applyNumberFormat="1" applyFont="1" applyFill="1" applyBorder="1" applyAlignment="1">
      <alignment horizontal="center" vertical="center"/>
    </xf>
    <xf numFmtId="2" fontId="10" fillId="0" borderId="0" xfId="7" applyNumberFormat="1" applyFont="1" applyFill="1"/>
    <xf numFmtId="0" fontId="23" fillId="4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left" vertical="center" wrapText="1"/>
    </xf>
    <xf numFmtId="2" fontId="10" fillId="4" borderId="1" xfId="0" applyNumberFormat="1" applyFont="1" applyFill="1" applyBorder="1" applyAlignment="1">
      <alignment horizontal="center" vertical="center"/>
    </xf>
    <xf numFmtId="8" fontId="10" fillId="4" borderId="1" xfId="0" applyNumberFormat="1" applyFont="1" applyFill="1" applyBorder="1" applyAlignment="1">
      <alignment horizontal="center" vertical="center"/>
    </xf>
    <xf numFmtId="10" fontId="10" fillId="4" borderId="1" xfId="0" applyNumberFormat="1" applyFont="1" applyFill="1" applyBorder="1" applyAlignment="1">
      <alignment horizontal="center" vertical="center"/>
    </xf>
    <xf numFmtId="166" fontId="10" fillId="0" borderId="0" xfId="7" applyNumberFormat="1" applyFont="1"/>
    <xf numFmtId="169" fontId="10" fillId="0" borderId="0" xfId="0" applyNumberFormat="1" applyFont="1"/>
    <xf numFmtId="167" fontId="10" fillId="0" borderId="0" xfId="7" applyNumberFormat="1" applyFont="1"/>
    <xf numFmtId="0" fontId="10" fillId="0" borderId="0" xfId="0" applyFont="1"/>
    <xf numFmtId="0" fontId="37" fillId="5" borderId="1" xfId="3" applyFont="1" applyFill="1" applyBorder="1" applyAlignment="1">
      <alignment horizontal="left" vertical="top" wrapText="1"/>
    </xf>
    <xf numFmtId="0" fontId="26" fillId="5" borderId="1" xfId="3" applyFont="1" applyFill="1" applyBorder="1" applyAlignment="1">
      <alignment horizontal="left" vertical="top" wrapText="1"/>
    </xf>
    <xf numFmtId="0" fontId="16" fillId="2" borderId="2" xfId="0" applyFont="1" applyFill="1" applyBorder="1" applyAlignment="1">
      <alignment horizontal="left" vertical="center"/>
    </xf>
    <xf numFmtId="0" fontId="16" fillId="2" borderId="3" xfId="0" applyFont="1" applyFill="1" applyBorder="1" applyAlignment="1">
      <alignment horizontal="left" vertical="center"/>
    </xf>
    <xf numFmtId="0" fontId="16" fillId="2" borderId="4" xfId="0" applyFont="1" applyFill="1" applyBorder="1" applyAlignment="1">
      <alignment horizontal="left" vertical="center"/>
    </xf>
    <xf numFmtId="0" fontId="10" fillId="2" borderId="2" xfId="0" applyFont="1" applyFill="1" applyBorder="1" applyAlignment="1">
      <alignment horizontal="left" vertical="center"/>
    </xf>
    <xf numFmtId="0" fontId="12" fillId="5" borderId="1" xfId="3" applyFont="1" applyFill="1" applyBorder="1" applyAlignment="1">
      <alignment horizontal="left" vertical="top"/>
    </xf>
    <xf numFmtId="0" fontId="13" fillId="5" borderId="1" xfId="3" applyFont="1" applyFill="1" applyBorder="1" applyAlignment="1">
      <alignment horizontal="left" vertical="top"/>
    </xf>
    <xf numFmtId="0" fontId="26" fillId="5" borderId="1" xfId="3" applyFont="1" applyFill="1" applyBorder="1" applyAlignment="1">
      <alignment horizontal="left" vertical="top"/>
    </xf>
    <xf numFmtId="0" fontId="13" fillId="5" borderId="1" xfId="3" applyFont="1" applyFill="1" applyBorder="1" applyAlignment="1">
      <alignment horizontal="left" vertical="top" wrapText="1"/>
    </xf>
    <xf numFmtId="0" fontId="8" fillId="0" borderId="0" xfId="3" applyFont="1" applyAlignment="1">
      <alignment horizontal="center" vertical="center" readingOrder="2"/>
    </xf>
    <xf numFmtId="0" fontId="17" fillId="0" borderId="0" xfId="3" applyFont="1" applyAlignment="1">
      <alignment horizontal="center" vertical="center" readingOrder="2"/>
    </xf>
    <xf numFmtId="0" fontId="7" fillId="0" borderId="0" xfId="3" applyFont="1" applyAlignment="1">
      <alignment horizontal="center" vertical="center" readingOrder="2"/>
    </xf>
    <xf numFmtId="164" fontId="14" fillId="0" borderId="0" xfId="3" applyNumberFormat="1" applyFont="1" applyFill="1" applyBorder="1" applyAlignment="1" applyProtection="1">
      <alignment horizontal="center" vertical="center" wrapText="1"/>
      <protection locked="0"/>
    </xf>
    <xf numFmtId="164" fontId="12" fillId="3" borderId="1" xfId="3" applyNumberFormat="1" applyFont="1" applyFill="1" applyBorder="1" applyAlignment="1" applyProtection="1">
      <alignment horizontal="center" vertical="center"/>
      <protection locked="0"/>
    </xf>
    <xf numFmtId="164" fontId="13" fillId="3" borderId="1" xfId="3" applyNumberFormat="1" applyFont="1" applyFill="1" applyBorder="1" applyAlignment="1" applyProtection="1">
      <alignment horizontal="center"/>
      <protection locked="0"/>
    </xf>
    <xf numFmtId="0" fontId="13" fillId="0" borderId="1" xfId="3" applyFont="1" applyFill="1" applyBorder="1" applyAlignment="1" applyProtection="1">
      <alignment horizontal="left" vertical="center" wrapText="1"/>
    </xf>
    <xf numFmtId="0" fontId="13" fillId="0" borderId="1" xfId="3" applyFont="1" applyFill="1" applyBorder="1" applyAlignment="1" applyProtection="1">
      <alignment horizontal="left" wrapText="1"/>
      <protection locked="0"/>
    </xf>
    <xf numFmtId="0" fontId="10" fillId="2" borderId="3" xfId="0" applyFont="1" applyFill="1" applyBorder="1" applyAlignment="1">
      <alignment horizontal="left" vertical="center"/>
    </xf>
    <xf numFmtId="0" fontId="10" fillId="2" borderId="4" xfId="0" applyFont="1" applyFill="1" applyBorder="1" applyAlignment="1">
      <alignment horizontal="left" vertical="center"/>
    </xf>
    <xf numFmtId="49" fontId="33" fillId="0" borderId="11" xfId="15" applyNumberFormat="1" applyFont="1" applyBorder="1" applyAlignment="1">
      <alignment horizontal="center" vertical="center"/>
    </xf>
    <xf numFmtId="49" fontId="33" fillId="0" borderId="0" xfId="15" applyNumberFormat="1" applyFont="1" applyBorder="1" applyAlignment="1">
      <alignment horizontal="center" vertical="center"/>
    </xf>
    <xf numFmtId="0" fontId="34" fillId="8" borderId="2" xfId="15" applyFont="1" applyFill="1" applyBorder="1" applyAlignment="1">
      <alignment horizontal="center" vertical="center"/>
    </xf>
    <xf numFmtId="0" fontId="34" fillId="8" borderId="4" xfId="15" applyFont="1" applyFill="1" applyBorder="1" applyAlignment="1">
      <alignment horizontal="center" vertical="center"/>
    </xf>
    <xf numFmtId="0" fontId="31" fillId="0" borderId="7" xfId="15" applyFont="1" applyBorder="1" applyAlignment="1">
      <alignment horizontal="center" vertical="center" wrapText="1"/>
    </xf>
    <xf numFmtId="0" fontId="31" fillId="0" borderId="12" xfId="15" applyFont="1" applyBorder="1" applyAlignment="1">
      <alignment horizontal="center" vertical="center" wrapText="1"/>
    </xf>
    <xf numFmtId="0" fontId="31" fillId="0" borderId="13" xfId="15" applyFont="1" applyBorder="1" applyAlignment="1">
      <alignment horizontal="center" vertical="center" wrapText="1"/>
    </xf>
    <xf numFmtId="0" fontId="31" fillId="0" borderId="14" xfId="15" applyFont="1" applyBorder="1" applyAlignment="1">
      <alignment horizontal="center" vertical="center" wrapText="1"/>
    </xf>
    <xf numFmtId="0" fontId="31" fillId="0" borderId="8" xfId="15" applyFont="1" applyBorder="1" applyAlignment="1">
      <alignment horizontal="center" vertical="center" wrapText="1"/>
    </xf>
    <xf numFmtId="0" fontId="31" fillId="0" borderId="15" xfId="15" applyFont="1" applyBorder="1" applyAlignment="1">
      <alignment horizontal="center" vertical="center" wrapText="1"/>
    </xf>
    <xf numFmtId="0" fontId="34" fillId="8" borderId="2" xfId="15" applyFont="1" applyFill="1" applyBorder="1" applyAlignment="1">
      <alignment horizontal="center" vertical="center" wrapText="1"/>
    </xf>
    <xf numFmtId="0" fontId="34" fillId="8" borderId="3" xfId="15" applyFont="1" applyFill="1" applyBorder="1" applyAlignment="1">
      <alignment horizontal="center" vertical="center" wrapText="1"/>
    </xf>
    <xf numFmtId="0" fontId="34" fillId="8" borderId="4" xfId="15" applyFont="1" applyFill="1" applyBorder="1" applyAlignment="1">
      <alignment horizontal="center" vertical="center" wrapText="1"/>
    </xf>
    <xf numFmtId="8" fontId="31" fillId="0" borderId="2" xfId="15" applyNumberFormat="1" applyFont="1" applyBorder="1" applyAlignment="1">
      <alignment horizontal="center" vertical="center"/>
    </xf>
    <xf numFmtId="8" fontId="31" fillId="0" borderId="3" xfId="15" applyNumberFormat="1" applyFont="1" applyBorder="1" applyAlignment="1">
      <alignment horizontal="center" vertical="center"/>
    </xf>
    <xf numFmtId="8" fontId="31" fillId="0" borderId="4" xfId="15" applyNumberFormat="1" applyFont="1" applyBorder="1" applyAlignment="1">
      <alignment horizontal="center" vertical="center"/>
    </xf>
    <xf numFmtId="0" fontId="31" fillId="0" borderId="11" xfId="15" applyFont="1" applyBorder="1" applyAlignment="1">
      <alignment horizontal="center"/>
    </xf>
    <xf numFmtId="0" fontId="31" fillId="0" borderId="0" xfId="15" applyFont="1" applyBorder="1" applyAlignment="1">
      <alignment horizontal="center"/>
    </xf>
    <xf numFmtId="0" fontId="33" fillId="0" borderId="1" xfId="15" applyFont="1" applyFill="1" applyBorder="1" applyAlignment="1">
      <alignment horizontal="left" vertical="center" wrapText="1"/>
    </xf>
    <xf numFmtId="0" fontId="33" fillId="0" borderId="1" xfId="15" applyFont="1" applyFill="1" applyBorder="1" applyAlignment="1">
      <alignment horizontal="center" vertical="center" wrapText="1"/>
    </xf>
    <xf numFmtId="0" fontId="31" fillId="0" borderId="2" xfId="15" applyFont="1" applyBorder="1" applyAlignment="1">
      <alignment horizontal="left" vertical="center"/>
    </xf>
    <xf numFmtId="0" fontId="31" fillId="0" borderId="3" xfId="15" applyFont="1" applyBorder="1" applyAlignment="1">
      <alignment horizontal="left" vertical="center"/>
    </xf>
    <xf numFmtId="0" fontId="31" fillId="0" borderId="4" xfId="15" applyFont="1" applyBorder="1" applyAlignment="1">
      <alignment horizontal="left" vertical="center"/>
    </xf>
    <xf numFmtId="0" fontId="31" fillId="0" borderId="0" xfId="15" applyFont="1" applyBorder="1" applyAlignment="1">
      <alignment horizontal="right" vertical="center"/>
    </xf>
    <xf numFmtId="0" fontId="31" fillId="0" borderId="9" xfId="15" applyFont="1" applyBorder="1" applyAlignment="1">
      <alignment horizontal="center"/>
    </xf>
    <xf numFmtId="0" fontId="31" fillId="0" borderId="10" xfId="15" applyFont="1" applyBorder="1" applyAlignment="1">
      <alignment horizontal="center"/>
    </xf>
    <xf numFmtId="49" fontId="32" fillId="0" borderId="11" xfId="15" applyNumberFormat="1" applyFont="1" applyBorder="1" applyAlignment="1">
      <alignment horizontal="center" vertical="center"/>
    </xf>
    <xf numFmtId="49" fontId="32" fillId="0" borderId="0" xfId="15" applyNumberFormat="1" applyFont="1" applyBorder="1" applyAlignment="1">
      <alignment horizontal="center" vertical="center"/>
    </xf>
    <xf numFmtId="49" fontId="33" fillId="0" borderId="11" xfId="15" applyNumberFormat="1" applyFont="1" applyBorder="1" applyAlignment="1">
      <alignment horizontal="center" vertical="center" wrapText="1"/>
    </xf>
    <xf numFmtId="49" fontId="33" fillId="0" borderId="0" xfId="15" applyNumberFormat="1" applyFont="1" applyBorder="1" applyAlignment="1">
      <alignment horizontal="center" vertical="center" wrapText="1"/>
    </xf>
    <xf numFmtId="8" fontId="32" fillId="8" borderId="1" xfId="15" applyNumberFormat="1" applyFont="1" applyFill="1" applyBorder="1" applyAlignment="1">
      <alignment horizontal="center" vertical="center"/>
    </xf>
    <xf numFmtId="0" fontId="32" fillId="8" borderId="1" xfId="15" applyFont="1" applyFill="1" applyBorder="1" applyAlignment="1">
      <alignment horizontal="center" vertical="center" wrapText="1"/>
    </xf>
    <xf numFmtId="0" fontId="32" fillId="8" borderId="1" xfId="15" applyFont="1" applyFill="1" applyBorder="1" applyAlignment="1">
      <alignment horizontal="center" vertical="center"/>
    </xf>
    <xf numFmtId="0" fontId="34" fillId="8" borderId="1" xfId="15" applyFont="1" applyFill="1" applyBorder="1" applyAlignment="1">
      <alignment horizontal="left" vertical="center" wrapText="1"/>
    </xf>
    <xf numFmtId="0" fontId="34" fillId="8" borderId="2" xfId="15" applyFont="1" applyFill="1" applyBorder="1" applyAlignment="1">
      <alignment horizontal="center"/>
    </xf>
    <xf numFmtId="0" fontId="34" fillId="8" borderId="3" xfId="15" applyFont="1" applyFill="1" applyBorder="1" applyAlignment="1">
      <alignment horizontal="center"/>
    </xf>
    <xf numFmtId="0" fontId="32" fillId="8" borderId="2" xfId="15" applyFont="1" applyFill="1" applyBorder="1" applyAlignment="1">
      <alignment horizontal="center"/>
    </xf>
    <xf numFmtId="0" fontId="32" fillId="8" borderId="3" xfId="15" applyFont="1" applyFill="1" applyBorder="1" applyAlignment="1">
      <alignment horizontal="center"/>
    </xf>
    <xf numFmtId="0" fontId="34" fillId="8" borderId="4" xfId="15" applyFont="1" applyFill="1" applyBorder="1" applyAlignment="1">
      <alignment horizontal="center"/>
    </xf>
    <xf numFmtId="0" fontId="31" fillId="0" borderId="0" xfId="15" applyFont="1" applyAlignment="1">
      <alignment horizontal="center"/>
    </xf>
    <xf numFmtId="0" fontId="34" fillId="0" borderId="0" xfId="15" applyFont="1" applyAlignment="1">
      <alignment horizontal="center"/>
    </xf>
    <xf numFmtId="0" fontId="33" fillId="0" borderId="2" xfId="15" applyFont="1" applyBorder="1" applyAlignment="1">
      <alignment horizontal="center" vertical="center"/>
    </xf>
    <xf numFmtId="0" fontId="33" fillId="0" borderId="3" xfId="15" applyFont="1" applyBorder="1" applyAlignment="1">
      <alignment horizontal="center" vertical="center"/>
    </xf>
    <xf numFmtId="0" fontId="33" fillId="0" borderId="4" xfId="15" applyFont="1" applyBorder="1" applyAlignment="1">
      <alignment horizontal="center" vertical="center"/>
    </xf>
    <xf numFmtId="0" fontId="33" fillId="0" borderId="2" xfId="15" applyFont="1" applyBorder="1" applyAlignment="1">
      <alignment horizontal="center"/>
    </xf>
    <xf numFmtId="0" fontId="33" fillId="0" borderId="3" xfId="15" applyFont="1" applyBorder="1" applyAlignment="1">
      <alignment horizontal="center"/>
    </xf>
    <xf numFmtId="0" fontId="33" fillId="0" borderId="4" xfId="15" applyFont="1" applyBorder="1" applyAlignment="1">
      <alignment horizontal="center"/>
    </xf>
    <xf numFmtId="0" fontId="31" fillId="0" borderId="2" xfId="15" applyFont="1" applyBorder="1" applyAlignment="1">
      <alignment horizontal="center"/>
    </xf>
    <xf numFmtId="0" fontId="31" fillId="0" borderId="3" xfId="15" applyFont="1" applyBorder="1" applyAlignment="1">
      <alignment horizontal="center"/>
    </xf>
    <xf numFmtId="0" fontId="31" fillId="0" borderId="4" xfId="15" applyFont="1" applyBorder="1" applyAlignment="1">
      <alignment horizontal="center"/>
    </xf>
    <xf numFmtId="0" fontId="32" fillId="8" borderId="4" xfId="15" applyFont="1" applyFill="1" applyBorder="1" applyAlignment="1">
      <alignment horizontal="center"/>
    </xf>
    <xf numFmtId="0" fontId="34" fillId="0" borderId="1" xfId="15" applyFont="1" applyBorder="1" applyAlignment="1">
      <alignment horizontal="center" vertical="center" wrapText="1"/>
    </xf>
    <xf numFmtId="0" fontId="32" fillId="8" borderId="2" xfId="15" applyFont="1" applyFill="1" applyBorder="1" applyAlignment="1">
      <alignment horizontal="center" vertical="center" wrapText="1"/>
    </xf>
    <xf numFmtId="0" fontId="32" fillId="8" borderId="3" xfId="15" applyFont="1" applyFill="1" applyBorder="1" applyAlignment="1">
      <alignment horizontal="center" vertical="center" wrapText="1"/>
    </xf>
    <xf numFmtId="0" fontId="32" fillId="8" borderId="4" xfId="15" applyFont="1" applyFill="1" applyBorder="1" applyAlignment="1">
      <alignment horizontal="center" vertical="center" wrapText="1"/>
    </xf>
    <xf numFmtId="0" fontId="32" fillId="0" borderId="1" xfId="15" applyFont="1" applyBorder="1" applyAlignment="1">
      <alignment horizontal="center" vertical="center" wrapText="1"/>
    </xf>
    <xf numFmtId="0" fontId="34" fillId="8" borderId="3" xfId="15" applyFont="1" applyFill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8" fontId="9" fillId="0" borderId="5" xfId="0" applyNumberFormat="1" applyFont="1" applyBorder="1" applyAlignment="1">
      <alignment horizontal="center" vertical="center"/>
    </xf>
    <xf numFmtId="8" fontId="9" fillId="0" borderId="6" xfId="0" applyNumberFormat="1" applyFont="1" applyBorder="1" applyAlignment="1">
      <alignment horizontal="center" vertical="center"/>
    </xf>
    <xf numFmtId="10" fontId="23" fillId="0" borderId="1" xfId="7" applyNumberFormat="1" applyFont="1" applyBorder="1" applyAlignment="1">
      <alignment horizontal="center" vertical="center"/>
    </xf>
    <xf numFmtId="164" fontId="11" fillId="0" borderId="1" xfId="3" applyNumberFormat="1" applyFont="1" applyFill="1" applyBorder="1" applyAlignment="1" applyProtection="1">
      <alignment horizontal="left" vertical="center" wrapText="1"/>
      <protection locked="0"/>
    </xf>
    <xf numFmtId="0" fontId="10" fillId="0" borderId="2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10" fontId="10" fillId="0" borderId="1" xfId="0" applyNumberFormat="1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164" fontId="11" fillId="0" borderId="2" xfId="3" applyNumberFormat="1" applyFont="1" applyFill="1" applyBorder="1" applyAlignment="1" applyProtection="1">
      <alignment horizontal="center" vertical="center"/>
      <protection locked="0"/>
    </xf>
    <xf numFmtId="164" fontId="11" fillId="0" borderId="3" xfId="3" applyNumberFormat="1" applyFont="1" applyFill="1" applyBorder="1" applyAlignment="1" applyProtection="1">
      <alignment horizontal="center" vertical="center"/>
      <protection locked="0"/>
    </xf>
    <xf numFmtId="164" fontId="11" fillId="0" borderId="4" xfId="3" applyNumberFormat="1" applyFont="1" applyFill="1" applyBorder="1" applyAlignment="1" applyProtection="1">
      <alignment horizontal="center" vertical="center"/>
      <protection locked="0"/>
    </xf>
    <xf numFmtId="164" fontId="11" fillId="0" borderId="2" xfId="3" applyNumberFormat="1" applyFont="1" applyFill="1" applyBorder="1" applyAlignment="1" applyProtection="1">
      <alignment horizontal="left"/>
      <protection locked="0"/>
    </xf>
    <xf numFmtId="164" fontId="11" fillId="0" borderId="3" xfId="3" applyNumberFormat="1" applyFont="1" applyFill="1" applyBorder="1" applyAlignment="1" applyProtection="1">
      <alignment horizontal="left"/>
      <protection locked="0"/>
    </xf>
    <xf numFmtId="164" fontId="11" fillId="0" borderId="4" xfId="3" applyNumberFormat="1" applyFont="1" applyFill="1" applyBorder="1" applyAlignment="1" applyProtection="1">
      <alignment horizontal="left"/>
      <protection locked="0"/>
    </xf>
    <xf numFmtId="8" fontId="10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23" fillId="0" borderId="1" xfId="0" applyFont="1" applyBorder="1" applyAlignment="1">
      <alignment horizontal="center" vertical="center"/>
    </xf>
    <xf numFmtId="164" fontId="12" fillId="0" borderId="1" xfId="3" applyNumberFormat="1" applyFont="1" applyFill="1" applyBorder="1" applyAlignment="1" applyProtection="1">
      <alignment horizontal="center" vertical="center" wrapText="1"/>
      <protection locked="0"/>
    </xf>
    <xf numFmtId="164" fontId="12" fillId="0" borderId="2" xfId="3" applyNumberFormat="1" applyFont="1" applyFill="1" applyBorder="1" applyAlignment="1" applyProtection="1">
      <alignment horizontal="center" vertical="center"/>
      <protection locked="0"/>
    </xf>
    <xf numFmtId="164" fontId="12" fillId="0" borderId="4" xfId="3" applyNumberFormat="1" applyFont="1" applyFill="1" applyBorder="1" applyAlignment="1" applyProtection="1">
      <alignment horizontal="center" vertical="center"/>
      <protection locked="0"/>
    </xf>
    <xf numFmtId="14" fontId="24" fillId="0" borderId="2" xfId="3" applyNumberFormat="1" applyFont="1" applyFill="1" applyBorder="1" applyAlignment="1" applyProtection="1">
      <alignment horizontal="center" vertical="center"/>
      <protection locked="0"/>
    </xf>
    <xf numFmtId="14" fontId="24" fillId="0" borderId="4" xfId="3" applyNumberFormat="1" applyFont="1" applyFill="1" applyBorder="1" applyAlignment="1" applyProtection="1">
      <alignment horizontal="center" vertical="center"/>
      <protection locked="0"/>
    </xf>
    <xf numFmtId="0" fontId="30" fillId="0" borderId="1" xfId="12" applyFont="1" applyBorder="1" applyAlignment="1">
      <alignment horizontal="center" vertical="center"/>
    </xf>
    <xf numFmtId="0" fontId="27" fillId="0" borderId="1" xfId="12" applyFont="1" applyBorder="1" applyAlignment="1">
      <alignment horizontal="center" vertical="center"/>
    </xf>
    <xf numFmtId="0" fontId="28" fillId="2" borderId="1" xfId="12" applyFont="1" applyFill="1" applyBorder="1" applyAlignment="1">
      <alignment horizontal="center"/>
    </xf>
    <xf numFmtId="0" fontId="29" fillId="0" borderId="1" xfId="12" applyFont="1" applyBorder="1" applyAlignment="1">
      <alignment horizontal="left" vertical="center" wrapText="1"/>
    </xf>
    <xf numFmtId="0" fontId="29" fillId="0" borderId="1" xfId="12" applyFont="1" applyBorder="1" applyAlignment="1">
      <alignment horizontal="left"/>
    </xf>
    <xf numFmtId="0" fontId="9" fillId="0" borderId="1" xfId="0" applyFont="1" applyBorder="1" applyAlignment="1">
      <alignment horizontal="center" vertical="center"/>
    </xf>
    <xf numFmtId="0" fontId="10" fillId="6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2" fontId="9" fillId="0" borderId="2" xfId="0" applyNumberFormat="1" applyFont="1" applyBorder="1" applyAlignment="1">
      <alignment horizontal="center"/>
    </xf>
    <xf numFmtId="2" fontId="9" fillId="0" borderId="3" xfId="0" applyNumberFormat="1" applyFont="1" applyBorder="1" applyAlignment="1">
      <alignment horizontal="center"/>
    </xf>
    <xf numFmtId="2" fontId="9" fillId="0" borderId="4" xfId="0" applyNumberFormat="1" applyFont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2" fontId="10" fillId="0" borderId="2" xfId="0" applyNumberFormat="1" applyFont="1" applyBorder="1" applyAlignment="1">
      <alignment horizontal="right" vertical="center"/>
    </xf>
    <xf numFmtId="2" fontId="16" fillId="0" borderId="3" xfId="0" applyNumberFormat="1" applyFont="1" applyBorder="1" applyAlignment="1">
      <alignment horizontal="right" vertical="center"/>
    </xf>
    <xf numFmtId="2" fontId="16" fillId="0" borderId="4" xfId="0" applyNumberFormat="1" applyFont="1" applyBorder="1" applyAlignment="1">
      <alignment horizontal="right" vertical="center"/>
    </xf>
  </cellXfs>
  <cellStyles count="16">
    <cellStyle name="Normal" xfId="0" builtinId="0"/>
    <cellStyle name="Normal 10" xfId="2"/>
    <cellStyle name="Normal 2" xfId="5"/>
    <cellStyle name="Normal 3" xfId="6"/>
    <cellStyle name="Normal 3 2" xfId="14"/>
    <cellStyle name="Normal 3 3" xfId="15"/>
    <cellStyle name="Normal 4" xfId="3"/>
    <cellStyle name="Normal 5" xfId="8"/>
    <cellStyle name="Normal 6" xfId="12"/>
    <cellStyle name="Porcentagem" xfId="7" builtinId="5"/>
    <cellStyle name="Porcentagem 2" xfId="10"/>
    <cellStyle name="Porcentagem 3" xfId="13"/>
    <cellStyle name="Porcentagem 4" xfId="1"/>
    <cellStyle name="Porcentagem 7" xfId="4"/>
    <cellStyle name="Vírgula 2" xfId="9"/>
    <cellStyle name="Vírgula 3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1353061</xdr:colOff>
      <xdr:row>38</xdr:row>
      <xdr:rowOff>77874</xdr:rowOff>
    </xdr:from>
    <xdr:to>
      <xdr:col>5</xdr:col>
      <xdr:colOff>268941</xdr:colOff>
      <xdr:row>41</xdr:row>
      <xdr:rowOff>145676</xdr:rowOff>
    </xdr:to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630532" y="7731492"/>
          <a:ext cx="3342203" cy="5384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>
          <a:defPPr>
            <a:defRPr lang="pt-BR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pt-BR" sz="1000" b="1" u="none">
              <a:solidFill>
                <a:schemeClr val="dk1"/>
              </a:solidFill>
              <a:effectLst/>
              <a:latin typeface="Arial" panose="020B0604020202020204" pitchFamily="7" charset="0"/>
              <a:ea typeface="+mn-ea"/>
              <a:cs typeface="Arial" panose="020B0604020202020204" pitchFamily="7" charset="0"/>
            </a:rPr>
            <a:t>_____________________________________________BIANCA OLIVEIRA DA SILVA</a:t>
          </a:r>
        </a:p>
        <a:p>
          <a:pPr algn="ctr"/>
          <a:r>
            <a:rPr lang="pt-BR" sz="1000" u="none">
              <a:solidFill>
                <a:schemeClr val="dk1"/>
              </a:solidFill>
              <a:effectLst/>
              <a:latin typeface="Arial" panose="020B0604020202020204" pitchFamily="7" charset="0"/>
              <a:ea typeface="+mn-ea"/>
              <a:cs typeface="Arial" panose="020B0604020202020204" pitchFamily="7" charset="0"/>
            </a:rPr>
            <a:t>Engenheira</a:t>
          </a:r>
          <a:r>
            <a:rPr lang="pt-BR" sz="1000" u="none" baseline="0">
              <a:solidFill>
                <a:schemeClr val="dk1"/>
              </a:solidFill>
              <a:effectLst/>
              <a:latin typeface="Arial" panose="020B0604020202020204" pitchFamily="7" charset="0"/>
              <a:ea typeface="+mn-ea"/>
              <a:cs typeface="Arial" panose="020B0604020202020204" pitchFamily="7" charset="0"/>
            </a:rPr>
            <a:t> Civil - </a:t>
          </a:r>
          <a:r>
            <a:rPr lang="pt-BR" sz="1000" u="none">
              <a:effectLst/>
              <a:latin typeface="Arial" panose="020B0604020202020204" pitchFamily="7" charset="0"/>
              <a:cs typeface="Arial" panose="020B0604020202020204" pitchFamily="7" charset="0"/>
            </a:rPr>
            <a:t>CREA/SP 5070438158</a:t>
          </a:r>
          <a:endParaRPr lang="pt-BR" altLang="en-US" sz="1000" u="none">
            <a:effectLst/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twoCellAnchor>
  <xdr:twoCellAnchor>
    <xdr:from>
      <xdr:col>0</xdr:col>
      <xdr:colOff>87905</xdr:colOff>
      <xdr:row>0</xdr:row>
      <xdr:rowOff>39759</xdr:rowOff>
    </xdr:from>
    <xdr:to>
      <xdr:col>1</xdr:col>
      <xdr:colOff>419100</xdr:colOff>
      <xdr:row>3</xdr:row>
      <xdr:rowOff>67822</xdr:rowOff>
    </xdr:to>
    <xdr:pic>
      <xdr:nvPicPr>
        <xdr:cNvPr id="3" name="Picture 1" descr="Brasã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05" y="39759"/>
          <a:ext cx="702670" cy="4852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38100</xdr:rowOff>
    </xdr:from>
    <xdr:to>
      <xdr:col>0</xdr:col>
      <xdr:colOff>962025</xdr:colOff>
      <xdr:row>7</xdr:row>
      <xdr:rowOff>0</xdr:rowOff>
    </xdr:to>
    <xdr:pic>
      <xdr:nvPicPr>
        <xdr:cNvPr id="3" name="Picture 1" descr="Brasã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38100"/>
          <a:ext cx="866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38100</xdr:rowOff>
    </xdr:from>
    <xdr:to>
      <xdr:col>0</xdr:col>
      <xdr:colOff>962025</xdr:colOff>
      <xdr:row>7</xdr:row>
      <xdr:rowOff>0</xdr:rowOff>
    </xdr:to>
    <xdr:pic>
      <xdr:nvPicPr>
        <xdr:cNvPr id="3" name="Picture 1" descr="Brasã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38100"/>
          <a:ext cx="866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38100</xdr:rowOff>
    </xdr:from>
    <xdr:to>
      <xdr:col>0</xdr:col>
      <xdr:colOff>962025</xdr:colOff>
      <xdr:row>7</xdr:row>
      <xdr:rowOff>0</xdr:rowOff>
    </xdr:to>
    <xdr:pic>
      <xdr:nvPicPr>
        <xdr:cNvPr id="3" name="Picture 1" descr="Brasã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38100"/>
          <a:ext cx="866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38100</xdr:rowOff>
    </xdr:from>
    <xdr:to>
      <xdr:col>0</xdr:col>
      <xdr:colOff>962025</xdr:colOff>
      <xdr:row>7</xdr:row>
      <xdr:rowOff>0</xdr:rowOff>
    </xdr:to>
    <xdr:pic>
      <xdr:nvPicPr>
        <xdr:cNvPr id="3" name="Picture 1" descr="Brasã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38100"/>
          <a:ext cx="866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145054</xdr:colOff>
      <xdr:row>0</xdr:row>
      <xdr:rowOff>20709</xdr:rowOff>
    </xdr:from>
    <xdr:to>
      <xdr:col>2</xdr:col>
      <xdr:colOff>82047</xdr:colOff>
      <xdr:row>3</xdr:row>
      <xdr:rowOff>180975</xdr:rowOff>
    </xdr:to>
    <xdr:pic>
      <xdr:nvPicPr>
        <xdr:cNvPr id="3" name="Picture 1" descr="Brasão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4654" y="20709"/>
          <a:ext cx="660893" cy="7222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1171575</xdr:colOff>
      <xdr:row>29</xdr:row>
      <xdr:rowOff>47625</xdr:rowOff>
    </xdr:from>
    <xdr:to>
      <xdr:col>5</xdr:col>
      <xdr:colOff>52825</xdr:colOff>
      <xdr:row>33</xdr:row>
      <xdr:rowOff>38100</xdr:rowOff>
    </xdr:to>
    <xdr:sp macro="" textlink="">
      <xdr:nvSpPr>
        <xdr:cNvPr id="4" name="CaixaDeTexto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2505075" y="3800475"/>
          <a:ext cx="2824600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>
          <a:defPPr>
            <a:defRPr lang="pt-BR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pt-BR" sz="1000" b="1" u="none">
              <a:solidFill>
                <a:schemeClr val="dk1"/>
              </a:solidFill>
              <a:effectLst/>
              <a:latin typeface="Arial" panose="020B0604020202020204" pitchFamily="7" charset="0"/>
              <a:ea typeface="+mn-ea"/>
              <a:cs typeface="Arial" panose="020B0604020202020204" pitchFamily="7" charset="0"/>
            </a:rPr>
            <a:t>BIANCA</a:t>
          </a:r>
          <a:r>
            <a:rPr lang="pt-BR" sz="1000" b="1" u="none" baseline="0">
              <a:solidFill>
                <a:schemeClr val="dk1"/>
              </a:solidFill>
              <a:effectLst/>
              <a:latin typeface="Arial" panose="020B0604020202020204" pitchFamily="7" charset="0"/>
              <a:ea typeface="+mn-ea"/>
              <a:cs typeface="Arial" panose="020B0604020202020204" pitchFamily="7" charset="0"/>
            </a:rPr>
            <a:t> OLIVEIRA DA SILVA</a:t>
          </a:r>
          <a:endParaRPr lang="pt-BR" sz="1000" b="1" u="none">
            <a:solidFill>
              <a:schemeClr val="dk1"/>
            </a:solidFill>
            <a:effectLst/>
            <a:latin typeface="Arial" panose="020B0604020202020204" pitchFamily="7" charset="0"/>
            <a:ea typeface="+mn-ea"/>
            <a:cs typeface="Arial" panose="020B0604020202020204" pitchFamily="7" charset="0"/>
          </a:endParaRPr>
        </a:p>
        <a:p>
          <a:pPr algn="ctr"/>
          <a:r>
            <a:rPr lang="pt-BR" sz="1000" u="none">
              <a:solidFill>
                <a:schemeClr val="dk1"/>
              </a:solidFill>
              <a:effectLst/>
              <a:latin typeface="Arial" panose="020B0604020202020204" pitchFamily="7" charset="0"/>
              <a:ea typeface="+mn-ea"/>
              <a:cs typeface="Arial" panose="020B0604020202020204" pitchFamily="7" charset="0"/>
            </a:rPr>
            <a:t>Engenheira</a:t>
          </a:r>
          <a:r>
            <a:rPr lang="pt-BR" sz="1000" u="none" baseline="0">
              <a:solidFill>
                <a:schemeClr val="dk1"/>
              </a:solidFill>
              <a:effectLst/>
              <a:latin typeface="Arial" panose="020B0604020202020204" pitchFamily="7" charset="0"/>
              <a:ea typeface="+mn-ea"/>
              <a:cs typeface="Arial" panose="020B0604020202020204" pitchFamily="7" charset="0"/>
            </a:rPr>
            <a:t> Civil</a:t>
          </a:r>
          <a:endParaRPr lang="pt-BR" sz="1000" u="none">
            <a:solidFill>
              <a:schemeClr val="dk1"/>
            </a:solidFill>
            <a:effectLst/>
            <a:latin typeface="Arial" panose="020B0604020202020204" pitchFamily="7" charset="0"/>
            <a:ea typeface="+mn-ea"/>
            <a:cs typeface="Arial" panose="020B0604020202020204" pitchFamily="7" charset="0"/>
          </a:endParaRPr>
        </a:p>
        <a:p>
          <a:pPr algn="ctr"/>
          <a:r>
            <a:rPr lang="pt-BR" sz="1000" u="none">
              <a:effectLst/>
              <a:latin typeface="Arial" panose="020B0604020202020204" pitchFamily="7" charset="0"/>
              <a:cs typeface="Arial" panose="020B0604020202020204" pitchFamily="7" charset="0"/>
            </a:rPr>
            <a:t>CREA-SP 5070438158</a:t>
          </a:r>
          <a:endParaRPr lang="pt-BR" altLang="en-US" sz="1000" u="none">
            <a:effectLst/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419100</xdr:colOff>
      <xdr:row>22</xdr:row>
      <xdr:rowOff>57150</xdr:rowOff>
    </xdr:from>
    <xdr:to>
      <xdr:col>3</xdr:col>
      <xdr:colOff>953065</xdr:colOff>
      <xdr:row>26</xdr:row>
      <xdr:rowOff>57235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8700" y="3505200"/>
          <a:ext cx="4048690" cy="609685"/>
        </a:xfrm>
        <a:prstGeom prst="rect">
          <a:avLst/>
        </a:prstGeom>
      </xdr:spPr>
    </xdr:pic>
    <xdr:clientData/>
  </xdr:twoCellAnchor>
  <xdr:twoCellAnchor>
    <xdr:from>
      <xdr:col>1</xdr:col>
      <xdr:colOff>30755</xdr:colOff>
      <xdr:row>0</xdr:row>
      <xdr:rowOff>106434</xdr:rowOff>
    </xdr:from>
    <xdr:to>
      <xdr:col>2</xdr:col>
      <xdr:colOff>314326</xdr:colOff>
      <xdr:row>4</xdr:row>
      <xdr:rowOff>115595</xdr:rowOff>
    </xdr:to>
    <xdr:pic>
      <xdr:nvPicPr>
        <xdr:cNvPr id="3" name="Picture 1" descr="Brasão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0355" y="106434"/>
          <a:ext cx="978896" cy="7521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247650</xdr:colOff>
      <xdr:row>29</xdr:row>
      <xdr:rowOff>76200</xdr:rowOff>
    </xdr:from>
    <xdr:to>
      <xdr:col>3</xdr:col>
      <xdr:colOff>1157725</xdr:colOff>
      <xdr:row>33</xdr:row>
      <xdr:rowOff>104775</xdr:rowOff>
    </xdr:to>
    <xdr:sp macro="" textlink="">
      <xdr:nvSpPr>
        <xdr:cNvPr id="4" name="CaixaDeTexto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857250" y="4591050"/>
          <a:ext cx="4424800" cy="638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>
          <a:defPPr>
            <a:defRPr lang="pt-BR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pt-BR" sz="1000" b="1" u="none">
              <a:solidFill>
                <a:schemeClr val="dk1"/>
              </a:solidFill>
              <a:effectLst/>
              <a:latin typeface="Arial" panose="020B0604020202020204" pitchFamily="7" charset="0"/>
              <a:ea typeface="+mn-ea"/>
              <a:cs typeface="Arial" panose="020B0604020202020204" pitchFamily="7" charset="0"/>
            </a:rPr>
            <a:t>BIANCA OLIVEIRA DA SILVA</a:t>
          </a:r>
        </a:p>
        <a:p>
          <a:pPr algn="ctr"/>
          <a:r>
            <a:rPr lang="pt-BR" sz="1000" u="none">
              <a:solidFill>
                <a:schemeClr val="dk1"/>
              </a:solidFill>
              <a:effectLst/>
              <a:latin typeface="Arial" panose="020B0604020202020204" pitchFamily="7" charset="0"/>
              <a:ea typeface="+mn-ea"/>
              <a:cs typeface="Arial" panose="020B0604020202020204" pitchFamily="7" charset="0"/>
            </a:rPr>
            <a:t>Engenheira</a:t>
          </a:r>
          <a:r>
            <a:rPr lang="pt-BR" sz="1000" u="none" baseline="0">
              <a:solidFill>
                <a:schemeClr val="dk1"/>
              </a:solidFill>
              <a:effectLst/>
              <a:latin typeface="Arial" panose="020B0604020202020204" pitchFamily="7" charset="0"/>
              <a:ea typeface="+mn-ea"/>
              <a:cs typeface="Arial" panose="020B0604020202020204" pitchFamily="7" charset="0"/>
            </a:rPr>
            <a:t> Civil</a:t>
          </a:r>
          <a:endParaRPr lang="pt-BR" sz="1000" u="none">
            <a:solidFill>
              <a:schemeClr val="dk1"/>
            </a:solidFill>
            <a:effectLst/>
            <a:latin typeface="Arial" panose="020B0604020202020204" pitchFamily="7" charset="0"/>
            <a:ea typeface="+mn-ea"/>
            <a:cs typeface="Arial" panose="020B0604020202020204" pitchFamily="7" charset="0"/>
          </a:endParaRPr>
        </a:p>
        <a:p>
          <a:pPr algn="ctr"/>
          <a:r>
            <a:rPr lang="pt-BR" sz="1000" u="none">
              <a:effectLst/>
              <a:latin typeface="Arial" panose="020B0604020202020204" pitchFamily="7" charset="0"/>
              <a:cs typeface="Arial" panose="020B0604020202020204" pitchFamily="7" charset="0"/>
            </a:rPr>
            <a:t>CREA-SP 5070438158</a:t>
          </a:r>
          <a:endParaRPr lang="pt-BR" altLang="en-US" sz="1000" u="none">
            <a:effectLst/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3"/>
  <sheetViews>
    <sheetView zoomScale="85" zoomScaleNormal="85" workbookViewId="0">
      <selection activeCell="D32" sqref="D32"/>
    </sheetView>
  </sheetViews>
  <sheetFormatPr defaultColWidth="9.140625" defaultRowHeight="12"/>
  <cols>
    <col min="1" max="1" width="5.5703125" style="1" customWidth="1"/>
    <col min="2" max="2" width="13.5703125" style="1" customWidth="1"/>
    <col min="3" max="3" width="48.7109375" style="1" customWidth="1"/>
    <col min="4" max="4" width="9.7109375" style="1" customWidth="1"/>
    <col min="5" max="5" width="7.85546875" style="1" customWidth="1"/>
    <col min="6" max="6" width="12.85546875" style="1" customWidth="1"/>
    <col min="7" max="7" width="14.140625" style="1" customWidth="1"/>
    <col min="8" max="8" width="16.140625" style="1" bestFit="1" customWidth="1"/>
    <col min="9" max="9" width="10.42578125" style="1" customWidth="1"/>
    <col min="10" max="10" width="15.5703125" style="1" bestFit="1" customWidth="1"/>
    <col min="11" max="11" width="16.85546875" style="1" bestFit="1" customWidth="1"/>
    <col min="12" max="12" width="14.140625" style="1" bestFit="1" customWidth="1"/>
    <col min="13" max="13" width="13.5703125" style="1" bestFit="1" customWidth="1"/>
    <col min="14" max="16384" width="9.140625" style="1"/>
  </cols>
  <sheetData>
    <row r="1" spans="1:12" ht="12" customHeight="1">
      <c r="A1" s="149" t="s">
        <v>16</v>
      </c>
      <c r="B1" s="149"/>
      <c r="C1" s="149"/>
      <c r="D1" s="149"/>
      <c r="E1" s="149"/>
      <c r="F1" s="149"/>
      <c r="G1" s="149"/>
      <c r="H1" s="149"/>
      <c r="I1" s="149"/>
    </row>
    <row r="2" spans="1:12" ht="12" customHeight="1">
      <c r="A2" s="150" t="s">
        <v>14</v>
      </c>
      <c r="B2" s="150"/>
      <c r="C2" s="150"/>
      <c r="D2" s="150"/>
      <c r="E2" s="150"/>
      <c r="F2" s="150"/>
      <c r="G2" s="150"/>
      <c r="H2" s="150"/>
      <c r="I2" s="150"/>
    </row>
    <row r="3" spans="1:12" ht="12" customHeight="1">
      <c r="A3" s="151" t="s">
        <v>15</v>
      </c>
      <c r="B3" s="151"/>
      <c r="C3" s="151"/>
      <c r="D3" s="151"/>
      <c r="E3" s="151"/>
      <c r="F3" s="151"/>
      <c r="G3" s="151"/>
      <c r="H3" s="151"/>
      <c r="I3" s="151"/>
    </row>
    <row r="4" spans="1:12" ht="12" customHeight="1">
      <c r="A4" s="152" t="s">
        <v>8</v>
      </c>
      <c r="B4" s="152"/>
      <c r="C4" s="152"/>
      <c r="D4" s="152"/>
      <c r="E4" s="152"/>
      <c r="F4" s="152"/>
      <c r="G4" s="152"/>
      <c r="H4" s="152"/>
      <c r="I4" s="152"/>
    </row>
    <row r="5" spans="1:12" ht="33.75" customHeight="1">
      <c r="A5" s="153" t="s">
        <v>9</v>
      </c>
      <c r="B5" s="154"/>
      <c r="C5" s="155" t="s">
        <v>264</v>
      </c>
      <c r="D5" s="155"/>
      <c r="E5" s="155"/>
      <c r="F5" s="63" t="s">
        <v>10</v>
      </c>
      <c r="G5" s="74">
        <f>'COMPOSIÇÃO DO BDI'!D19</f>
        <v>0.20699999999999999</v>
      </c>
      <c r="H5" s="63" t="s">
        <v>11</v>
      </c>
      <c r="I5" s="79">
        <v>45163</v>
      </c>
    </row>
    <row r="6" spans="1:12" ht="12.75">
      <c r="A6" s="153" t="s">
        <v>12</v>
      </c>
      <c r="B6" s="154"/>
      <c r="C6" s="156" t="s">
        <v>247</v>
      </c>
      <c r="D6" s="156"/>
      <c r="E6" s="156"/>
      <c r="F6" s="156"/>
      <c r="G6" s="156"/>
      <c r="H6" s="156"/>
      <c r="I6" s="156"/>
    </row>
    <row r="7" spans="1:12" ht="9" customHeight="1">
      <c r="H7" s="30">
        <f>G5</f>
        <v>0.20699999999999999</v>
      </c>
      <c r="I7" s="30"/>
    </row>
    <row r="8" spans="1:12" ht="24">
      <c r="A8" s="2" t="s">
        <v>0</v>
      </c>
      <c r="B8" s="3" t="s">
        <v>17</v>
      </c>
      <c r="C8" s="2" t="s">
        <v>1</v>
      </c>
      <c r="D8" s="2" t="s">
        <v>2</v>
      </c>
      <c r="E8" s="2" t="s">
        <v>3</v>
      </c>
      <c r="F8" s="3" t="s">
        <v>4</v>
      </c>
      <c r="G8" s="3" t="s">
        <v>266</v>
      </c>
      <c r="H8" s="3" t="s">
        <v>61</v>
      </c>
      <c r="I8" s="3" t="s">
        <v>54</v>
      </c>
    </row>
    <row r="9" spans="1:12">
      <c r="A9" s="4">
        <v>1</v>
      </c>
      <c r="B9" s="144" t="s">
        <v>228</v>
      </c>
      <c r="C9" s="157"/>
      <c r="D9" s="157"/>
      <c r="E9" s="157"/>
      <c r="F9" s="157"/>
      <c r="G9" s="158"/>
      <c r="H9" s="8">
        <f>SUM(H10)</f>
        <v>640.70000000000005</v>
      </c>
      <c r="I9" s="33">
        <f>ROUNDDOWN(H9/$H$33,4)</f>
        <v>1.6E-2</v>
      </c>
    </row>
    <row r="10" spans="1:12" s="126" customFormat="1" ht="12" customHeight="1">
      <c r="A10" s="118" t="s">
        <v>252</v>
      </c>
      <c r="B10" s="118" t="s">
        <v>26</v>
      </c>
      <c r="C10" s="119" t="s">
        <v>25</v>
      </c>
      <c r="D10" s="120">
        <f>'Memória de Cálculo'!C4</f>
        <v>3</v>
      </c>
      <c r="E10" s="118" t="s">
        <v>5</v>
      </c>
      <c r="F10" s="121">
        <v>176.94</v>
      </c>
      <c r="G10" s="121">
        <f>F10*(1+$H$7)</f>
        <v>213.56658000000002</v>
      </c>
      <c r="H10" s="121">
        <f>ROUNDUP(D10*F10*(1+$H$7),2)</f>
        <v>640.70000000000005</v>
      </c>
      <c r="I10" s="122">
        <f>ROUNDDOWN(H10/$H$33,4)</f>
        <v>1.6E-2</v>
      </c>
      <c r="J10" s="123"/>
      <c r="K10" s="124"/>
      <c r="L10" s="125"/>
    </row>
    <row r="11" spans="1:12" ht="12" customHeight="1">
      <c r="A11" s="4">
        <v>2</v>
      </c>
      <c r="B11" s="144" t="s">
        <v>397</v>
      </c>
      <c r="C11" s="157"/>
      <c r="D11" s="157"/>
      <c r="E11" s="157"/>
      <c r="F11" s="157"/>
      <c r="G11" s="158"/>
      <c r="H11" s="8">
        <f>SUM(H12:H18)</f>
        <v>4063.52</v>
      </c>
      <c r="I11" s="33">
        <f>ROUNDDOWN(H11/$H$33,4)</f>
        <v>0.1019</v>
      </c>
      <c r="J11" s="45"/>
    </row>
    <row r="12" spans="1:12" s="126" customFormat="1" ht="24">
      <c r="A12" s="127" t="s">
        <v>253</v>
      </c>
      <c r="B12" s="118" t="s">
        <v>18</v>
      </c>
      <c r="C12" s="119" t="s">
        <v>49</v>
      </c>
      <c r="D12" s="128">
        <f>'Memória de Cálculo'!C7</f>
        <v>40</v>
      </c>
      <c r="E12" s="118" t="s">
        <v>7</v>
      </c>
      <c r="F12" s="121">
        <v>59.3</v>
      </c>
      <c r="G12" s="121">
        <f t="shared" ref="G12:G24" si="0">F12*(1+$H$7)</f>
        <v>71.575100000000006</v>
      </c>
      <c r="H12" s="121">
        <f>ROUNDDOWN(D12*F12*(1+$H$7),2)</f>
        <v>2863</v>
      </c>
      <c r="I12" s="122">
        <f>ROUNDUP(H12/$H$33,4)</f>
        <v>7.1900000000000006E-2</v>
      </c>
      <c r="J12" s="129"/>
    </row>
    <row r="13" spans="1:12" s="126" customFormat="1" ht="24">
      <c r="A13" s="127" t="s">
        <v>254</v>
      </c>
      <c r="B13" s="118" t="s">
        <v>388</v>
      </c>
      <c r="C13" s="119" t="s">
        <v>389</v>
      </c>
      <c r="D13" s="128">
        <f>'Memória de Cálculo'!C12</f>
        <v>0.24000000000000005</v>
      </c>
      <c r="E13" s="118" t="s">
        <v>6</v>
      </c>
      <c r="F13" s="121">
        <v>70.56</v>
      </c>
      <c r="G13" s="121">
        <f t="shared" si="0"/>
        <v>85.165920000000014</v>
      </c>
      <c r="H13" s="121">
        <f>ROUNDDOWN(D13*F13*(1+$H$7),2)</f>
        <v>20.43</v>
      </c>
      <c r="I13" s="122">
        <f>ROUNDUP(H13/$H$33,4)</f>
        <v>6.0000000000000006E-4</v>
      </c>
      <c r="J13" s="129"/>
    </row>
    <row r="14" spans="1:12" s="126" customFormat="1">
      <c r="A14" s="127" t="s">
        <v>255</v>
      </c>
      <c r="B14" s="118" t="s">
        <v>250</v>
      </c>
      <c r="C14" s="119" t="s">
        <v>251</v>
      </c>
      <c r="D14" s="120">
        <f>'Memória de Cálculo'!C20</f>
        <v>0.24000000000000005</v>
      </c>
      <c r="E14" s="118" t="s">
        <v>6</v>
      </c>
      <c r="F14" s="121">
        <v>1714.05</v>
      </c>
      <c r="G14" s="121">
        <f t="shared" si="0"/>
        <v>2068.85835</v>
      </c>
      <c r="H14" s="121">
        <f>ROUNDUP(D14*F14*(1+$H$7),2)</f>
        <v>496.53</v>
      </c>
      <c r="I14" s="122">
        <f>ROUNDDOWN(H14/$H$33,4)</f>
        <v>1.24E-2</v>
      </c>
      <c r="J14" s="129"/>
      <c r="K14" s="124"/>
      <c r="L14" s="125"/>
    </row>
    <row r="15" spans="1:12" s="126" customFormat="1" ht="24">
      <c r="A15" s="127" t="s">
        <v>256</v>
      </c>
      <c r="B15" s="118" t="s">
        <v>19</v>
      </c>
      <c r="C15" s="119" t="s">
        <v>36</v>
      </c>
      <c r="D15" s="128">
        <f>'Memória de Cálculo'!C27</f>
        <v>3.6440000000000006</v>
      </c>
      <c r="E15" s="118" t="s">
        <v>5</v>
      </c>
      <c r="F15" s="121">
        <v>80.37</v>
      </c>
      <c r="G15" s="121">
        <f t="shared" si="0"/>
        <v>97.006590000000017</v>
      </c>
      <c r="H15" s="121">
        <f>ROUNDUP(D15*F15*(1+$H$7),2)</f>
        <v>353.5</v>
      </c>
      <c r="I15" s="122">
        <f>ROUNDDOWN(H15/$H$33,4)</f>
        <v>8.8000000000000005E-3</v>
      </c>
      <c r="J15" s="129"/>
      <c r="K15" s="124"/>
      <c r="L15" s="125"/>
    </row>
    <row r="16" spans="1:12" s="126" customFormat="1">
      <c r="A16" s="127" t="s">
        <v>257</v>
      </c>
      <c r="B16" s="118" t="s">
        <v>37</v>
      </c>
      <c r="C16" s="119" t="s">
        <v>38</v>
      </c>
      <c r="D16" s="120">
        <f>'Memória de Cálculo'!C39</f>
        <v>7.0585000000000004</v>
      </c>
      <c r="E16" s="118" t="s">
        <v>5</v>
      </c>
      <c r="F16" s="121">
        <v>6.32</v>
      </c>
      <c r="G16" s="121">
        <f t="shared" si="0"/>
        <v>7.6282400000000008</v>
      </c>
      <c r="H16" s="121">
        <f>ROUNDUP(D16*F16*(1+$H$7),2)</f>
        <v>53.85</v>
      </c>
      <c r="I16" s="122">
        <f>ROUNDUP(H16/$H$33,4)</f>
        <v>1.4E-3</v>
      </c>
      <c r="J16" s="129"/>
    </row>
    <row r="17" spans="1:12" s="126" customFormat="1">
      <c r="A17" s="127" t="s">
        <v>258</v>
      </c>
      <c r="B17" s="118" t="s">
        <v>34</v>
      </c>
      <c r="C17" s="119" t="s">
        <v>32</v>
      </c>
      <c r="D17" s="120">
        <f>D16</f>
        <v>7.0585000000000004</v>
      </c>
      <c r="E17" s="118" t="s">
        <v>5</v>
      </c>
      <c r="F17" s="121">
        <v>20.75</v>
      </c>
      <c r="G17" s="121">
        <f t="shared" si="0"/>
        <v>25.045250000000003</v>
      </c>
      <c r="H17" s="121">
        <f>ROUNDUP(D17*F17*(1+$H$7),2)</f>
        <v>176.79</v>
      </c>
      <c r="I17" s="122">
        <f>ROUNDUP(H17/$H$33,4)</f>
        <v>4.5000000000000005E-3</v>
      </c>
      <c r="J17" s="129"/>
    </row>
    <row r="18" spans="1:12" s="126" customFormat="1">
      <c r="A18" s="127" t="s">
        <v>387</v>
      </c>
      <c r="B18" s="118" t="s">
        <v>35</v>
      </c>
      <c r="C18" s="119" t="s">
        <v>33</v>
      </c>
      <c r="D18" s="120">
        <f>D16</f>
        <v>7.0585000000000004</v>
      </c>
      <c r="E18" s="118" t="s">
        <v>5</v>
      </c>
      <c r="F18" s="121">
        <v>11.67</v>
      </c>
      <c r="G18" s="121">
        <f t="shared" si="0"/>
        <v>14.085690000000001</v>
      </c>
      <c r="H18" s="121">
        <f>ROUNDDOWN(D18*F18*(1+$H$7),2)</f>
        <v>99.42</v>
      </c>
      <c r="I18" s="122">
        <f>ROUNDDOWN(H18/$H$33,4)</f>
        <v>2.3999999999999998E-3</v>
      </c>
      <c r="J18" s="129"/>
      <c r="K18" s="124"/>
      <c r="L18" s="125"/>
    </row>
    <row r="19" spans="1:12">
      <c r="A19" s="4">
        <v>3</v>
      </c>
      <c r="B19" s="144" t="s">
        <v>327</v>
      </c>
      <c r="C19" s="157"/>
      <c r="D19" s="157"/>
      <c r="E19" s="157"/>
      <c r="F19" s="157"/>
      <c r="G19" s="158"/>
      <c r="H19" s="8">
        <f>SUM(H20:H21)</f>
        <v>1332.56</v>
      </c>
      <c r="I19" s="33">
        <f>ROUNDDOWN(H19/$H$33,4)</f>
        <v>3.3399999999999999E-2</v>
      </c>
      <c r="J19" s="54"/>
      <c r="K19" s="80"/>
      <c r="L19" s="81"/>
    </row>
    <row r="20" spans="1:12" s="126" customFormat="1">
      <c r="A20" s="127" t="s">
        <v>259</v>
      </c>
      <c r="B20" s="118" t="s">
        <v>328</v>
      </c>
      <c r="C20" s="119" t="s">
        <v>329</v>
      </c>
      <c r="D20" s="128">
        <f>'Memória de Cálculo'!C58</f>
        <v>1.4560000000000002</v>
      </c>
      <c r="E20" s="118" t="s">
        <v>6</v>
      </c>
      <c r="F20" s="121">
        <v>478.66</v>
      </c>
      <c r="G20" s="121">
        <f t="shared" ref="G20:G21" si="1">F20*(1+$H$7)</f>
        <v>577.7426200000001</v>
      </c>
      <c r="H20" s="121">
        <f>ROUNDDOWN(D20*F20*(1+$H$7),2)</f>
        <v>841.19</v>
      </c>
      <c r="I20" s="122">
        <f>ROUNDUP(H20/$H$33,4)</f>
        <v>2.12E-2</v>
      </c>
      <c r="J20" s="129"/>
      <c r="K20" s="124"/>
      <c r="L20" s="125"/>
    </row>
    <row r="21" spans="1:12" s="126" customFormat="1">
      <c r="A21" s="127" t="s">
        <v>260</v>
      </c>
      <c r="B21" s="118" t="s">
        <v>330</v>
      </c>
      <c r="C21" s="119" t="s">
        <v>331</v>
      </c>
      <c r="D21" s="120">
        <f>'Memória de Cálculo'!C66</f>
        <v>29.119999999999997</v>
      </c>
      <c r="E21" s="118" t="s">
        <v>332</v>
      </c>
      <c r="F21" s="121">
        <v>13.98</v>
      </c>
      <c r="G21" s="121">
        <f t="shared" si="1"/>
        <v>16.873860000000001</v>
      </c>
      <c r="H21" s="121">
        <f>ROUNDUP(D21*F21*(1+$H$7),2)</f>
        <v>491.37</v>
      </c>
      <c r="I21" s="122">
        <f>ROUNDDOWN(H21/$H$33,4)</f>
        <v>1.23E-2</v>
      </c>
      <c r="J21" s="129"/>
      <c r="K21" s="124"/>
      <c r="L21" s="125"/>
    </row>
    <row r="22" spans="1:12">
      <c r="A22" s="4">
        <v>4</v>
      </c>
      <c r="B22" s="144" t="s">
        <v>248</v>
      </c>
      <c r="C22" s="142"/>
      <c r="D22" s="142"/>
      <c r="E22" s="142"/>
      <c r="F22" s="142"/>
      <c r="G22" s="143"/>
      <c r="H22" s="8">
        <f>SUM(H23:H26)</f>
        <v>29107.15</v>
      </c>
      <c r="I22" s="33">
        <f t="shared" ref="I22:I31" si="2">ROUNDUP(H22/$H$33,4)</f>
        <v>0.73029999999999995</v>
      </c>
      <c r="J22" s="45"/>
      <c r="K22" s="80"/>
      <c r="L22" s="81"/>
    </row>
    <row r="23" spans="1:12" s="138" customFormat="1" ht="24">
      <c r="A23" s="2" t="s">
        <v>261</v>
      </c>
      <c r="B23" s="130" t="s">
        <v>400</v>
      </c>
      <c r="C23" s="131" t="s">
        <v>405</v>
      </c>
      <c r="D23" s="132">
        <v>1</v>
      </c>
      <c r="E23" s="2" t="s">
        <v>309</v>
      </c>
      <c r="F23" s="133">
        <f>'PORTÃO 3,58 x 2,48'!G37</f>
        <v>5387.6900000000005</v>
      </c>
      <c r="G23" s="133">
        <f t="shared" si="0"/>
        <v>6502.9418300000007</v>
      </c>
      <c r="H23" s="133">
        <f>ROUNDUP(D23*F23*(1+$H$7),2)</f>
        <v>6502.95</v>
      </c>
      <c r="I23" s="134">
        <f t="shared" si="2"/>
        <v>0.16319999999999998</v>
      </c>
      <c r="J23" s="135"/>
      <c r="K23" s="136"/>
      <c r="L23" s="137"/>
    </row>
    <row r="24" spans="1:12" s="138" customFormat="1" ht="24">
      <c r="A24" s="2" t="s">
        <v>333</v>
      </c>
      <c r="B24" s="130" t="s">
        <v>400</v>
      </c>
      <c r="C24" s="131" t="s">
        <v>403</v>
      </c>
      <c r="D24" s="132">
        <v>1</v>
      </c>
      <c r="E24" s="2" t="s">
        <v>309</v>
      </c>
      <c r="F24" s="133">
        <f>'PORTÃO 2,10 x 2,48'!G37</f>
        <v>3212.27</v>
      </c>
      <c r="G24" s="133">
        <f t="shared" si="0"/>
        <v>3877.2098900000001</v>
      </c>
      <c r="H24" s="133">
        <f>ROUNDUP(D24*F24*(1+$H$7),2)</f>
        <v>3877.21</v>
      </c>
      <c r="I24" s="134">
        <f t="shared" si="2"/>
        <v>9.7299999999999998E-2</v>
      </c>
      <c r="J24" s="135"/>
      <c r="K24" s="136"/>
      <c r="L24" s="137"/>
    </row>
    <row r="25" spans="1:12" s="138" customFormat="1" ht="24">
      <c r="A25" s="2" t="s">
        <v>334</v>
      </c>
      <c r="B25" s="130" t="s">
        <v>400</v>
      </c>
      <c r="C25" s="131" t="s">
        <v>402</v>
      </c>
      <c r="D25" s="132">
        <v>1</v>
      </c>
      <c r="E25" s="2" t="s">
        <v>309</v>
      </c>
      <c r="F25" s="133">
        <f>'PORTÃO 4,24 x 2,48'!G37</f>
        <v>6220.3600000000006</v>
      </c>
      <c r="G25" s="133">
        <f>F25*(1+$H$7)</f>
        <v>7507.9745200000016</v>
      </c>
      <c r="H25" s="133">
        <f>ROUNDUP(D25*F25*(1+$H$7),2)</f>
        <v>7507.9800000000005</v>
      </c>
      <c r="I25" s="134">
        <f t="shared" si="2"/>
        <v>0.18839999999999998</v>
      </c>
      <c r="J25" s="135"/>
      <c r="K25" s="136"/>
      <c r="L25" s="137"/>
    </row>
    <row r="26" spans="1:12" s="138" customFormat="1" ht="36">
      <c r="A26" s="2" t="s">
        <v>335</v>
      </c>
      <c r="B26" s="130" t="s">
        <v>400</v>
      </c>
      <c r="C26" s="131" t="s">
        <v>406</v>
      </c>
      <c r="D26" s="132">
        <f>31.88*2.08</f>
        <v>66.310400000000001</v>
      </c>
      <c r="E26" s="2" t="s">
        <v>5</v>
      </c>
      <c r="F26" s="133">
        <f>GRADIL!G37</f>
        <v>140.17333333333335</v>
      </c>
      <c r="G26" s="133">
        <f>F26*(1+$H$7)</f>
        <v>169.18921333333336</v>
      </c>
      <c r="H26" s="133">
        <f>ROUNDUP(D26*F26*(1+$H$7),2)</f>
        <v>11219.01</v>
      </c>
      <c r="I26" s="134">
        <f t="shared" si="2"/>
        <v>0.28149999999999997</v>
      </c>
      <c r="J26" s="135"/>
      <c r="K26" s="136"/>
      <c r="L26" s="137"/>
    </row>
    <row r="27" spans="1:12">
      <c r="A27" s="4">
        <v>5</v>
      </c>
      <c r="B27" s="144" t="s">
        <v>249</v>
      </c>
      <c r="C27" s="142"/>
      <c r="D27" s="142"/>
      <c r="E27" s="142"/>
      <c r="F27" s="142"/>
      <c r="G27" s="143"/>
      <c r="H27" s="8">
        <f>SUM(H28:H28)</f>
        <v>466.46999999999997</v>
      </c>
      <c r="I27" s="33">
        <f t="shared" si="2"/>
        <v>1.18E-2</v>
      </c>
      <c r="J27" s="45"/>
      <c r="K27" s="80"/>
      <c r="L27" s="81"/>
    </row>
    <row r="28" spans="1:12" s="126" customFormat="1" ht="24">
      <c r="A28" s="118" t="s">
        <v>262</v>
      </c>
      <c r="B28" s="118" t="s">
        <v>64</v>
      </c>
      <c r="C28" s="119" t="s">
        <v>65</v>
      </c>
      <c r="D28" s="128">
        <f>'Memória de Cálculo'!C73</f>
        <v>7.51</v>
      </c>
      <c r="E28" s="118" t="s">
        <v>7</v>
      </c>
      <c r="F28" s="121">
        <v>51.46</v>
      </c>
      <c r="G28" s="121">
        <f>F28*(1+$H$7)</f>
        <v>62.112220000000008</v>
      </c>
      <c r="H28" s="121">
        <f>ROUNDUP(D28*F28*(1+$H$7),2)</f>
        <v>466.46999999999997</v>
      </c>
      <c r="I28" s="122">
        <f t="shared" si="2"/>
        <v>1.18E-2</v>
      </c>
      <c r="J28" s="123"/>
      <c r="K28" s="124"/>
      <c r="L28" s="125"/>
    </row>
    <row r="29" spans="1:12">
      <c r="A29" s="4">
        <v>6</v>
      </c>
      <c r="B29" s="141" t="s">
        <v>27</v>
      </c>
      <c r="C29" s="142"/>
      <c r="D29" s="142"/>
      <c r="E29" s="142"/>
      <c r="F29" s="142"/>
      <c r="G29" s="143"/>
      <c r="H29" s="8">
        <f>SUM(H30:H32)</f>
        <v>4247.55</v>
      </c>
      <c r="I29" s="33">
        <f t="shared" si="2"/>
        <v>0.1066</v>
      </c>
      <c r="J29" s="45"/>
      <c r="K29" s="80"/>
      <c r="L29" s="81"/>
    </row>
    <row r="30" spans="1:12" s="126" customFormat="1" ht="12.75" customHeight="1">
      <c r="A30" s="118" t="s">
        <v>240</v>
      </c>
      <c r="B30" s="118" t="s">
        <v>30</v>
      </c>
      <c r="C30" s="119" t="s">
        <v>31</v>
      </c>
      <c r="D30" s="120">
        <f>'Memória de Cálculo'!C82</f>
        <v>75.003299999999996</v>
      </c>
      <c r="E30" s="118" t="s">
        <v>5</v>
      </c>
      <c r="F30" s="121">
        <v>15.63</v>
      </c>
      <c r="G30" s="121">
        <f>F30*(1+$H$7)</f>
        <v>18.865410000000001</v>
      </c>
      <c r="H30" s="121">
        <f>ROUNDDOWN(D30*F30*(1+$H$7),2)</f>
        <v>1414.96</v>
      </c>
      <c r="I30" s="122">
        <f t="shared" si="2"/>
        <v>3.56E-2</v>
      </c>
      <c r="K30" s="124"/>
      <c r="L30" s="125"/>
    </row>
    <row r="31" spans="1:12" s="126" customFormat="1">
      <c r="A31" s="118" t="s">
        <v>242</v>
      </c>
      <c r="B31" s="118" t="s">
        <v>28</v>
      </c>
      <c r="C31" s="119" t="s">
        <v>29</v>
      </c>
      <c r="D31" s="120">
        <f>D30</f>
        <v>75.003299999999996</v>
      </c>
      <c r="E31" s="118" t="s">
        <v>5</v>
      </c>
      <c r="F31" s="121">
        <v>30.21</v>
      </c>
      <c r="G31" s="121">
        <f>F31*(1+$H$7)</f>
        <v>36.463470000000001</v>
      </c>
      <c r="H31" s="121">
        <f>ROUNDDOWN(D31*F31*(1+$H$7),2)</f>
        <v>2734.88</v>
      </c>
      <c r="I31" s="122">
        <f t="shared" si="2"/>
        <v>6.8699999999999997E-2</v>
      </c>
      <c r="K31" s="124"/>
      <c r="L31" s="125"/>
    </row>
    <row r="32" spans="1:12" s="126" customFormat="1" ht="24">
      <c r="A32" s="118" t="s">
        <v>336</v>
      </c>
      <c r="B32" s="118" t="s">
        <v>62</v>
      </c>
      <c r="C32" s="119" t="s">
        <v>63</v>
      </c>
      <c r="D32" s="128">
        <f>D28*0.25</f>
        <v>1.8774999999999999</v>
      </c>
      <c r="E32" s="118" t="s">
        <v>5</v>
      </c>
      <c r="F32" s="121">
        <v>43.12</v>
      </c>
      <c r="G32" s="121">
        <f>F32*(1+$H$7)</f>
        <v>52.045839999999998</v>
      </c>
      <c r="H32" s="121">
        <f>ROUNDDOWN(D32*F32*(1+$H$7),2)</f>
        <v>97.71</v>
      </c>
      <c r="I32" s="122">
        <f>ROUNDDOWN(H32/$H$33,4)</f>
        <v>2.3999999999999998E-3</v>
      </c>
      <c r="K32" s="124"/>
      <c r="L32" s="125"/>
    </row>
    <row r="33" spans="1:11">
      <c r="A33" s="4"/>
      <c r="B33" s="144" t="s">
        <v>41</v>
      </c>
      <c r="C33" s="142"/>
      <c r="D33" s="142"/>
      <c r="E33" s="142"/>
      <c r="F33" s="142"/>
      <c r="G33" s="143"/>
      <c r="H33" s="8">
        <f>H9+H11+H22+H27+H29+H19</f>
        <v>39857.950000000004</v>
      </c>
      <c r="I33" s="33">
        <f>I9+I11+I22+I27+I29+I19</f>
        <v>1</v>
      </c>
      <c r="K33" s="80"/>
    </row>
    <row r="34" spans="1:11" ht="12.75">
      <c r="A34" s="145" t="s">
        <v>13</v>
      </c>
      <c r="B34" s="145"/>
      <c r="C34" s="145"/>
      <c r="D34" s="145"/>
      <c r="E34" s="145"/>
      <c r="F34" s="145"/>
      <c r="G34" s="145"/>
      <c r="H34" s="145"/>
      <c r="I34" s="145"/>
    </row>
    <row r="35" spans="1:11" ht="12.75">
      <c r="A35" s="146" t="s">
        <v>265</v>
      </c>
      <c r="B35" s="146"/>
      <c r="C35" s="146"/>
      <c r="D35" s="146"/>
      <c r="E35" s="146"/>
      <c r="F35" s="146"/>
      <c r="G35" s="146"/>
      <c r="H35" s="146"/>
      <c r="I35" s="146"/>
    </row>
    <row r="36" spans="1:11" ht="12.75">
      <c r="A36" s="146" t="s">
        <v>410</v>
      </c>
      <c r="B36" s="146"/>
      <c r="C36" s="146"/>
      <c r="D36" s="146"/>
      <c r="E36" s="146"/>
      <c r="F36" s="146"/>
      <c r="G36" s="146"/>
      <c r="H36" s="146"/>
      <c r="I36" s="146"/>
    </row>
    <row r="37" spans="1:11" ht="12.75">
      <c r="A37" s="148" t="s">
        <v>401</v>
      </c>
      <c r="B37" s="146"/>
      <c r="C37" s="146"/>
      <c r="D37" s="146"/>
      <c r="E37" s="146"/>
      <c r="F37" s="146"/>
      <c r="G37" s="146"/>
      <c r="H37" s="146"/>
      <c r="I37" s="146"/>
    </row>
    <row r="38" spans="1:11" ht="12.75" customHeight="1">
      <c r="A38" s="147" t="s">
        <v>267</v>
      </c>
      <c r="B38" s="147"/>
      <c r="C38" s="147"/>
      <c r="D38" s="147"/>
      <c r="E38" s="147"/>
      <c r="F38" s="147"/>
      <c r="G38" s="147"/>
      <c r="H38" s="147"/>
      <c r="I38" s="147"/>
    </row>
    <row r="39" spans="1:11" ht="12.75">
      <c r="A39" s="139" t="s">
        <v>407</v>
      </c>
      <c r="B39" s="140"/>
      <c r="C39" s="140"/>
      <c r="D39" s="140"/>
      <c r="E39" s="140"/>
      <c r="F39" s="140"/>
      <c r="G39" s="140"/>
      <c r="H39" s="140"/>
      <c r="I39" s="140"/>
    </row>
    <row r="40" spans="1:11" ht="12.75" customHeight="1">
      <c r="A40" s="46"/>
      <c r="B40" s="46"/>
      <c r="C40" s="46"/>
      <c r="D40" s="46"/>
      <c r="E40" s="46"/>
      <c r="F40" s="46"/>
      <c r="G40" s="46"/>
      <c r="H40" s="46"/>
      <c r="I40" s="46"/>
    </row>
    <row r="41" spans="1:11" ht="12" customHeight="1">
      <c r="A41" s="47"/>
      <c r="B41" s="47"/>
      <c r="C41" s="47"/>
      <c r="D41" s="47"/>
      <c r="E41" s="47"/>
      <c r="F41" s="47"/>
      <c r="G41" s="47"/>
      <c r="H41" s="47"/>
      <c r="I41" s="47"/>
    </row>
    <row r="42" spans="1:11">
      <c r="H42" s="9"/>
    </row>
    <row r="46" spans="1:11">
      <c r="C46" s="36"/>
    </row>
    <row r="53" ht="16.5" customHeight="1"/>
  </sheetData>
  <mergeCells count="21">
    <mergeCell ref="B27:G27"/>
    <mergeCell ref="A1:I1"/>
    <mergeCell ref="A2:I2"/>
    <mergeCell ref="A3:I3"/>
    <mergeCell ref="A4:I4"/>
    <mergeCell ref="A5:B5"/>
    <mergeCell ref="C5:E5"/>
    <mergeCell ref="A6:B6"/>
    <mergeCell ref="C6:I6"/>
    <mergeCell ref="B9:G9"/>
    <mergeCell ref="B11:G11"/>
    <mergeCell ref="B22:G22"/>
    <mergeCell ref="B19:G19"/>
    <mergeCell ref="A39:I39"/>
    <mergeCell ref="B29:G29"/>
    <mergeCell ref="B33:G33"/>
    <mergeCell ref="A34:I34"/>
    <mergeCell ref="A35:I35"/>
    <mergeCell ref="A36:I36"/>
    <mergeCell ref="A38:I38"/>
    <mergeCell ref="A37:I37"/>
  </mergeCells>
  <printOptions horizontalCentered="1" verticalCentered="1"/>
  <pageMargins left="0.31496062992125984" right="0.31496062992125984" top="0" bottom="0" header="0.31496062992125984" footer="0.31496062992125984"/>
  <pageSetup paperSize="9" scale="80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17"/>
  <sheetViews>
    <sheetView workbookViewId="0">
      <selection activeCell="C10" sqref="C10"/>
    </sheetView>
  </sheetViews>
  <sheetFormatPr defaultRowHeight="12"/>
  <cols>
    <col min="1" max="1" width="9.140625" style="1"/>
    <col min="2" max="2" width="85.5703125" style="1" bestFit="1" customWidth="1"/>
    <col min="3" max="3" width="18.85546875" style="1" customWidth="1"/>
    <col min="4" max="4" width="26.85546875" style="1" bestFit="1" customWidth="1"/>
    <col min="5" max="16384" width="9.140625" style="1"/>
  </cols>
  <sheetData>
    <row r="2" spans="2:4">
      <c r="B2" s="20" t="s">
        <v>45</v>
      </c>
      <c r="C2" s="20" t="s">
        <v>44</v>
      </c>
      <c r="D2" s="60" t="s">
        <v>226</v>
      </c>
    </row>
    <row r="3" spans="2:4">
      <c r="B3" s="20" t="s">
        <v>173</v>
      </c>
      <c r="C3" s="22">
        <f>(22.48+24.12)*2.7</f>
        <v>125.82000000000001</v>
      </c>
      <c r="D3" s="62">
        <v>0</v>
      </c>
    </row>
    <row r="4" spans="2:4">
      <c r="B4" s="49" t="s">
        <v>183</v>
      </c>
      <c r="C4" s="22">
        <f>(20.2-2-0.9)*0.4</f>
        <v>6.9200000000000008</v>
      </c>
      <c r="D4" s="62">
        <v>0</v>
      </c>
    </row>
    <row r="5" spans="2:4" ht="12.75">
      <c r="B5" s="20" t="s">
        <v>174</v>
      </c>
      <c r="C5" s="16">
        <f>2.5*2.5</f>
        <v>6.25</v>
      </c>
      <c r="D5" s="62">
        <f>2.5*0.15*0.2</f>
        <v>7.5000000000000011E-2</v>
      </c>
    </row>
    <row r="6" spans="2:4" ht="12.75">
      <c r="B6" s="17" t="s">
        <v>175</v>
      </c>
      <c r="C6" s="16">
        <f>0.85*2.5</f>
        <v>2.125</v>
      </c>
      <c r="D6" s="62">
        <f>0.85*0.15*0.2</f>
        <v>2.5500000000000002E-2</v>
      </c>
    </row>
    <row r="7" spans="2:4" ht="12.75">
      <c r="B7" s="17" t="s">
        <v>176</v>
      </c>
      <c r="C7" s="16">
        <f>0.75*2.8</f>
        <v>2.0999999999999996</v>
      </c>
      <c r="D7" s="62">
        <f>0.75*0.15*0.2</f>
        <v>2.2499999999999999E-2</v>
      </c>
    </row>
    <row r="8" spans="2:4" ht="12.75">
      <c r="B8" s="17" t="s">
        <v>177</v>
      </c>
      <c r="C8" s="16">
        <f>0.35*2.8</f>
        <v>0.97999999999999987</v>
      </c>
      <c r="D8" s="62">
        <v>0</v>
      </c>
    </row>
    <row r="9" spans="2:4" ht="12.75">
      <c r="B9" s="17" t="s">
        <v>227</v>
      </c>
      <c r="C9" s="16">
        <f>0.45*2.8</f>
        <v>1.26</v>
      </c>
      <c r="D9" s="62">
        <v>0</v>
      </c>
    </row>
    <row r="10" spans="2:4" ht="12.75">
      <c r="B10" s="17" t="s">
        <v>179</v>
      </c>
      <c r="C10" s="17">
        <f>0.85*2.8</f>
        <v>2.38</v>
      </c>
      <c r="D10" s="62">
        <f>0.85*0.15*0.2</f>
        <v>2.5500000000000002E-2</v>
      </c>
    </row>
    <row r="11" spans="2:4" ht="12.75">
      <c r="B11" s="17" t="s">
        <v>178</v>
      </c>
      <c r="C11" s="17">
        <f>0.85*2.8</f>
        <v>2.38</v>
      </c>
      <c r="D11" s="62">
        <f>0.85*0.15*0.2</f>
        <v>2.5500000000000002E-2</v>
      </c>
    </row>
    <row r="12" spans="2:4" ht="12.75">
      <c r="B12" s="17" t="s">
        <v>180</v>
      </c>
      <c r="C12" s="17">
        <f>2.75*2.8-0.4*0.4</f>
        <v>7.5399999999999991</v>
      </c>
      <c r="D12" s="62">
        <f>3.65*0.15*0.2</f>
        <v>0.1095</v>
      </c>
    </row>
    <row r="13" spans="2:4" ht="12.75">
      <c r="B13" s="17" t="s">
        <v>181</v>
      </c>
      <c r="C13" s="22">
        <f>0.6*2.8</f>
        <v>1.68</v>
      </c>
      <c r="D13" s="62">
        <f>0.6*0.15*0.2</f>
        <v>1.7999999999999999E-2</v>
      </c>
    </row>
    <row r="14" spans="2:4">
      <c r="B14" s="20" t="s">
        <v>182</v>
      </c>
      <c r="C14" s="22">
        <f>2.7*2.8-1.5*1.1</f>
        <v>5.9099999999999993</v>
      </c>
      <c r="D14" s="62">
        <f>2.7*0.15*0.2</f>
        <v>8.1000000000000016E-2</v>
      </c>
    </row>
    <row r="15" spans="2:4">
      <c r="B15" s="23" t="s">
        <v>43</v>
      </c>
      <c r="C15" s="19">
        <f>ROUNDUP(SUM(C3:C14),2)</f>
        <v>165.35</v>
      </c>
      <c r="D15" s="53">
        <f>ROUNDUP(SUM(D3:D14),2)</f>
        <v>0.39</v>
      </c>
    </row>
    <row r="17" spans="3:3">
      <c r="C17" s="34"/>
    </row>
  </sheetData>
  <pageMargins left="0.511811024" right="0.511811024" top="0.78740157499999996" bottom="0.78740157499999996" header="0.31496062000000002" footer="0.3149606200000000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20"/>
  <sheetViews>
    <sheetView workbookViewId="0">
      <selection activeCell="F9" sqref="F9"/>
    </sheetView>
  </sheetViews>
  <sheetFormatPr defaultRowHeight="12"/>
  <cols>
    <col min="1" max="1" width="9.140625" style="10"/>
    <col min="2" max="2" width="32.7109375" style="10" bestFit="1" customWidth="1"/>
    <col min="3" max="3" width="15.140625" style="10" bestFit="1" customWidth="1"/>
    <col min="4" max="4" width="12.85546875" style="10" bestFit="1" customWidth="1"/>
    <col min="5" max="5" width="11.7109375" style="10" bestFit="1" customWidth="1"/>
    <col min="6" max="6" width="10.7109375" style="10" bestFit="1" customWidth="1"/>
    <col min="7" max="16384" width="9.140625" style="10"/>
  </cols>
  <sheetData>
    <row r="2" spans="2:7">
      <c r="B2" s="18" t="s">
        <v>39</v>
      </c>
      <c r="C2" s="13" t="s">
        <v>22</v>
      </c>
      <c r="D2" s="13" t="s">
        <v>20</v>
      </c>
      <c r="E2" s="13" t="s">
        <v>23</v>
      </c>
      <c r="F2" s="13" t="s">
        <v>21</v>
      </c>
    </row>
    <row r="3" spans="2:7">
      <c r="B3" s="48" t="s">
        <v>165</v>
      </c>
      <c r="C3" s="14">
        <v>1.2</v>
      </c>
      <c r="D3" s="14">
        <v>0.15</v>
      </c>
      <c r="E3" s="14">
        <v>3</v>
      </c>
      <c r="F3" s="14">
        <f t="shared" ref="F3:F8" si="0">C3*D3*E3</f>
        <v>0.54</v>
      </c>
      <c r="G3" s="1"/>
    </row>
    <row r="4" spans="2:7">
      <c r="B4" s="48" t="s">
        <v>166</v>
      </c>
      <c r="C4" s="14">
        <v>1.1000000000000001</v>
      </c>
      <c r="D4" s="14">
        <v>0.15</v>
      </c>
      <c r="E4" s="14">
        <v>3</v>
      </c>
      <c r="F4" s="14">
        <f t="shared" si="0"/>
        <v>0.495</v>
      </c>
      <c r="G4" s="1"/>
    </row>
    <row r="5" spans="2:7">
      <c r="B5" s="48" t="s">
        <v>167</v>
      </c>
      <c r="C5" s="14">
        <v>0.8</v>
      </c>
      <c r="D5" s="14">
        <v>0.15</v>
      </c>
      <c r="E5" s="14">
        <v>3</v>
      </c>
      <c r="F5" s="14">
        <f t="shared" si="0"/>
        <v>0.36</v>
      </c>
      <c r="G5" s="1"/>
    </row>
    <row r="6" spans="2:7">
      <c r="B6" s="48" t="s">
        <v>168</v>
      </c>
      <c r="C6" s="14">
        <v>1.7</v>
      </c>
      <c r="D6" s="14">
        <v>0.15</v>
      </c>
      <c r="E6" s="14">
        <v>3</v>
      </c>
      <c r="F6" s="14">
        <f t="shared" si="0"/>
        <v>0.76500000000000001</v>
      </c>
      <c r="G6" s="1"/>
    </row>
    <row r="7" spans="2:7">
      <c r="B7" s="48" t="s">
        <v>169</v>
      </c>
      <c r="C7" s="14">
        <v>1.25</v>
      </c>
      <c r="D7" s="14">
        <v>0.15</v>
      </c>
      <c r="E7" s="14">
        <v>3</v>
      </c>
      <c r="F7" s="14">
        <f t="shared" si="0"/>
        <v>0.5625</v>
      </c>
      <c r="G7" s="1"/>
    </row>
    <row r="8" spans="2:7">
      <c r="B8" s="48" t="s">
        <v>170</v>
      </c>
      <c r="C8" s="14">
        <v>2.4</v>
      </c>
      <c r="D8" s="14">
        <v>0.15</v>
      </c>
      <c r="E8" s="14">
        <v>3</v>
      </c>
      <c r="F8" s="14">
        <f t="shared" si="0"/>
        <v>1.08</v>
      </c>
      <c r="G8" s="1"/>
    </row>
    <row r="9" spans="2:7">
      <c r="B9" s="256" t="s">
        <v>24</v>
      </c>
      <c r="C9" s="257"/>
      <c r="D9" s="257"/>
      <c r="E9" s="258"/>
      <c r="F9" s="15">
        <f>SUM(F3:F8)</f>
        <v>3.8025000000000002</v>
      </c>
    </row>
    <row r="10" spans="2:7">
      <c r="C10" s="12"/>
      <c r="D10" s="12"/>
      <c r="E10" s="12"/>
      <c r="F10" s="12"/>
    </row>
    <row r="11" spans="2:7">
      <c r="C11" s="12"/>
      <c r="D11" s="12"/>
      <c r="E11" s="55"/>
      <c r="F11" s="12"/>
    </row>
    <row r="12" spans="2:7">
      <c r="C12" s="12"/>
      <c r="D12" s="12"/>
      <c r="E12" s="12"/>
      <c r="F12" s="12"/>
    </row>
    <row r="13" spans="2:7">
      <c r="C13" s="12"/>
      <c r="D13" s="12"/>
      <c r="E13" s="12"/>
      <c r="F13" s="12"/>
    </row>
    <row r="14" spans="2:7">
      <c r="C14" s="12"/>
      <c r="D14" s="12"/>
      <c r="E14" s="12"/>
      <c r="F14" s="12"/>
    </row>
    <row r="15" spans="2:7">
      <c r="C15" s="12"/>
      <c r="D15" s="12"/>
      <c r="E15" s="12"/>
      <c r="F15" s="12"/>
    </row>
    <row r="16" spans="2:7">
      <c r="C16" s="12"/>
      <c r="D16" s="12"/>
      <c r="E16" s="12"/>
      <c r="F16" s="12"/>
    </row>
    <row r="17" spans="3:6">
      <c r="C17" s="12"/>
      <c r="D17" s="12"/>
      <c r="E17" s="12"/>
      <c r="F17" s="12"/>
    </row>
    <row r="18" spans="3:6">
      <c r="C18" s="12"/>
      <c r="D18" s="12"/>
      <c r="E18" s="12"/>
      <c r="F18" s="12"/>
    </row>
    <row r="19" spans="3:6">
      <c r="C19" s="12"/>
      <c r="D19" s="12"/>
      <c r="E19" s="12"/>
      <c r="F19" s="12"/>
    </row>
    <row r="20" spans="3:6">
      <c r="C20" s="12"/>
      <c r="D20" s="12"/>
      <c r="E20" s="12"/>
      <c r="F20" s="12"/>
    </row>
  </sheetData>
  <mergeCells count="1">
    <mergeCell ref="B9:E9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H43"/>
  <sheetViews>
    <sheetView topLeftCell="B1" workbookViewId="0">
      <selection activeCell="G8" sqref="G8"/>
    </sheetView>
  </sheetViews>
  <sheetFormatPr defaultRowHeight="12"/>
  <cols>
    <col min="1" max="1" width="9.140625" style="1"/>
    <col min="2" max="2" width="49.85546875" style="1" bestFit="1" customWidth="1"/>
    <col min="3" max="3" width="32.140625" style="1" bestFit="1" customWidth="1"/>
    <col min="4" max="5" width="23.7109375" style="1" bestFit="1" customWidth="1"/>
    <col min="6" max="6" width="23.7109375" style="1" customWidth="1"/>
    <col min="7" max="7" width="15.85546875" style="1" bestFit="1" customWidth="1"/>
    <col min="8" max="8" width="9.85546875" style="1" customWidth="1"/>
    <col min="9" max="16384" width="9.140625" style="1"/>
  </cols>
  <sheetData>
    <row r="4" spans="2:8">
      <c r="B4" s="222" t="s">
        <v>40</v>
      </c>
      <c r="C4" s="223"/>
      <c r="D4" s="224"/>
      <c r="E4" s="25" t="s">
        <v>48</v>
      </c>
      <c r="F4" s="26"/>
    </row>
    <row r="5" spans="2:8">
      <c r="B5" s="20" t="s">
        <v>184</v>
      </c>
      <c r="C5" s="22">
        <f>42.73*2.8-8*0.9*2.1-2*2.1-1.5*1.1+31.92</f>
        <v>130.59399999999997</v>
      </c>
      <c r="D5" s="20" t="s">
        <v>46</v>
      </c>
      <c r="E5" s="22">
        <f>C5</f>
        <v>130.59399999999997</v>
      </c>
      <c r="G5" s="20" t="s">
        <v>192</v>
      </c>
      <c r="H5" s="22">
        <f>SUM(E5:E17)</f>
        <v>415.06</v>
      </c>
    </row>
    <row r="6" spans="2:8">
      <c r="B6" s="20" t="s">
        <v>155</v>
      </c>
      <c r="C6" s="22">
        <f>18.54*2.8-0.9*2.1-1.5*1.1+21.48</f>
        <v>69.85199999999999</v>
      </c>
      <c r="D6" s="20" t="s">
        <v>46</v>
      </c>
      <c r="E6" s="22">
        <f t="shared" ref="E6:E17" si="0">C6</f>
        <v>69.85199999999999</v>
      </c>
      <c r="G6" s="52" t="s">
        <v>193</v>
      </c>
      <c r="H6" s="22">
        <f>SUM(E21:E23)</f>
        <v>206.17000000000002</v>
      </c>
    </row>
    <row r="7" spans="2:8">
      <c r="B7" s="20" t="s">
        <v>154</v>
      </c>
      <c r="C7" s="22">
        <f>21.14*2.8-0.9*2.1-1.5*1.1+27.41</f>
        <v>83.061999999999998</v>
      </c>
      <c r="D7" s="20" t="s">
        <v>46</v>
      </c>
      <c r="E7" s="22">
        <f t="shared" si="0"/>
        <v>83.061999999999998</v>
      </c>
      <c r="G7" s="20" t="s">
        <v>46</v>
      </c>
      <c r="H7" s="22">
        <f>SUM(C5:C17)+SUM(C21:C23)</f>
        <v>872.87</v>
      </c>
    </row>
    <row r="8" spans="2:8">
      <c r="B8" s="20" t="s">
        <v>157</v>
      </c>
      <c r="C8" s="22">
        <f>18.84*2.8-2*1.5*1.1-0.9*2.1+22.09</f>
        <v>69.652000000000001</v>
      </c>
      <c r="D8" s="20" t="s">
        <v>46</v>
      </c>
      <c r="E8" s="22">
        <f t="shared" si="0"/>
        <v>69.652000000000001</v>
      </c>
    </row>
    <row r="9" spans="2:8">
      <c r="B9" s="49" t="s">
        <v>73</v>
      </c>
      <c r="C9" s="22">
        <v>4.33</v>
      </c>
      <c r="D9" s="49" t="s">
        <v>46</v>
      </c>
      <c r="E9" s="22">
        <f t="shared" si="0"/>
        <v>4.33</v>
      </c>
    </row>
    <row r="10" spans="2:8">
      <c r="B10" s="49" t="s">
        <v>74</v>
      </c>
      <c r="C10" s="22">
        <v>3.45</v>
      </c>
      <c r="D10" s="49" t="s">
        <v>46</v>
      </c>
      <c r="E10" s="22">
        <f t="shared" si="0"/>
        <v>3.45</v>
      </c>
    </row>
    <row r="11" spans="2:8">
      <c r="B11" s="49" t="s">
        <v>185</v>
      </c>
      <c r="C11" s="22">
        <v>8.85</v>
      </c>
      <c r="D11" s="49" t="s">
        <v>46</v>
      </c>
      <c r="E11" s="22">
        <f t="shared" si="0"/>
        <v>8.85</v>
      </c>
    </row>
    <row r="12" spans="2:8">
      <c r="B12" s="49" t="s">
        <v>186</v>
      </c>
      <c r="C12" s="22">
        <v>4.45</v>
      </c>
      <c r="D12" s="49" t="s">
        <v>46</v>
      </c>
      <c r="E12" s="22">
        <f t="shared" si="0"/>
        <v>4.45</v>
      </c>
    </row>
    <row r="13" spans="2:8">
      <c r="B13" s="49" t="s">
        <v>160</v>
      </c>
      <c r="C13" s="22">
        <v>9.6300000000000008</v>
      </c>
      <c r="D13" s="49" t="s">
        <v>46</v>
      </c>
      <c r="E13" s="22">
        <f t="shared" si="0"/>
        <v>9.6300000000000008</v>
      </c>
    </row>
    <row r="14" spans="2:8">
      <c r="B14" s="49" t="s">
        <v>187</v>
      </c>
      <c r="C14" s="22">
        <v>5.22</v>
      </c>
      <c r="D14" s="49" t="s">
        <v>46</v>
      </c>
      <c r="E14" s="22">
        <f t="shared" si="0"/>
        <v>5.22</v>
      </c>
    </row>
    <row r="15" spans="2:8">
      <c r="B15" s="49" t="s">
        <v>188</v>
      </c>
      <c r="C15" s="22">
        <v>14.13</v>
      </c>
      <c r="D15" s="49" t="s">
        <v>46</v>
      </c>
      <c r="E15" s="22">
        <f t="shared" si="0"/>
        <v>14.13</v>
      </c>
    </row>
    <row r="16" spans="2:8">
      <c r="B16" s="49" t="s">
        <v>163</v>
      </c>
      <c r="C16" s="22">
        <v>6.79</v>
      </c>
      <c r="D16" s="49" t="s">
        <v>46</v>
      </c>
      <c r="E16" s="22">
        <f t="shared" si="0"/>
        <v>6.79</v>
      </c>
    </row>
    <row r="17" spans="2:5">
      <c r="B17" s="49" t="s">
        <v>164</v>
      </c>
      <c r="C17" s="22">
        <v>5.05</v>
      </c>
      <c r="D17" s="49" t="s">
        <v>46</v>
      </c>
      <c r="E17" s="22">
        <f t="shared" si="0"/>
        <v>5.05</v>
      </c>
    </row>
    <row r="18" spans="2:5">
      <c r="B18" s="27"/>
      <c r="C18" s="28"/>
      <c r="D18" s="27"/>
      <c r="E18" s="28"/>
    </row>
    <row r="20" spans="2:5">
      <c r="B20" s="222" t="s">
        <v>47</v>
      </c>
      <c r="C20" s="223"/>
      <c r="D20" s="224"/>
      <c r="E20" s="50" t="s">
        <v>48</v>
      </c>
    </row>
    <row r="21" spans="2:5">
      <c r="B21" s="20" t="s">
        <v>189</v>
      </c>
      <c r="C21" s="22">
        <f>64*3.5-((10*1.5*1.1+2*0.7*0.6+2*0.65*0.6+1*1.2*0.6)+(1*2*2.1+2*0.9*2.1))-(2.95*3)+(4*0.25*4)</f>
        <v>192.33</v>
      </c>
      <c r="D21" s="20" t="s">
        <v>46</v>
      </c>
      <c r="E21" s="22">
        <f>C21</f>
        <v>192.33</v>
      </c>
    </row>
    <row r="22" spans="2:5">
      <c r="B22" s="20" t="s">
        <v>190</v>
      </c>
      <c r="C22" s="22">
        <f>(22.48+24.12)*2.7*2</f>
        <v>251.64000000000001</v>
      </c>
      <c r="D22" s="20" t="s">
        <v>46</v>
      </c>
      <c r="E22" s="22">
        <v>0</v>
      </c>
    </row>
    <row r="23" spans="2:5">
      <c r="B23" s="20" t="s">
        <v>191</v>
      </c>
      <c r="C23" s="22">
        <f>(20.2-2-0.9)*0.4*2</f>
        <v>13.840000000000002</v>
      </c>
      <c r="D23" s="20" t="s">
        <v>46</v>
      </c>
      <c r="E23" s="22">
        <f>C23</f>
        <v>13.840000000000002</v>
      </c>
    </row>
    <row r="26" spans="2:5">
      <c r="B26" s="235" t="s">
        <v>42</v>
      </c>
      <c r="C26" s="235"/>
      <c r="D26" s="26"/>
    </row>
    <row r="27" spans="2:5">
      <c r="B27" s="20" t="s">
        <v>195</v>
      </c>
      <c r="C27" s="52" t="s">
        <v>194</v>
      </c>
      <c r="D27" s="27"/>
    </row>
    <row r="28" spans="2:5">
      <c r="B28" s="56">
        <v>1</v>
      </c>
      <c r="C28" s="21">
        <v>15.2</v>
      </c>
      <c r="D28" s="28"/>
    </row>
    <row r="29" spans="2:5">
      <c r="B29" s="57">
        <v>2</v>
      </c>
      <c r="C29" s="21">
        <v>15.2</v>
      </c>
      <c r="D29" s="28"/>
    </row>
    <row r="30" spans="2:5">
      <c r="B30" s="57">
        <v>3</v>
      </c>
      <c r="C30" s="21">
        <v>15.2</v>
      </c>
      <c r="D30" s="28"/>
    </row>
    <row r="31" spans="2:5">
      <c r="B31" s="56">
        <v>4</v>
      </c>
      <c r="C31" s="21">
        <v>15.2</v>
      </c>
      <c r="D31" s="28"/>
    </row>
    <row r="32" spans="2:5">
      <c r="B32" s="57">
        <v>5</v>
      </c>
      <c r="C32" s="21">
        <v>11.9</v>
      </c>
      <c r="D32" s="28"/>
    </row>
    <row r="33" spans="2:4">
      <c r="B33" s="57">
        <v>6</v>
      </c>
      <c r="C33" s="21">
        <v>10.199999999999999</v>
      </c>
      <c r="D33" s="28"/>
    </row>
    <row r="34" spans="2:4">
      <c r="B34" s="56">
        <v>7</v>
      </c>
      <c r="C34" s="21">
        <v>10.199999999999999</v>
      </c>
      <c r="D34" s="28"/>
    </row>
    <row r="35" spans="2:4">
      <c r="B35" s="57">
        <v>8</v>
      </c>
      <c r="C35" s="21">
        <v>17.7</v>
      </c>
      <c r="D35" s="28"/>
    </row>
    <row r="36" spans="2:4">
      <c r="B36" s="56">
        <v>9</v>
      </c>
      <c r="C36" s="21">
        <v>17.7</v>
      </c>
      <c r="D36" s="28"/>
    </row>
    <row r="37" spans="2:4">
      <c r="B37" s="57">
        <v>10</v>
      </c>
      <c r="C37" s="21">
        <v>17.7</v>
      </c>
      <c r="D37" s="28"/>
    </row>
    <row r="38" spans="2:4">
      <c r="B38" s="57">
        <v>11</v>
      </c>
      <c r="C38" s="21">
        <v>17.7</v>
      </c>
      <c r="D38" s="28"/>
    </row>
    <row r="39" spans="2:4">
      <c r="B39" s="56">
        <v>12</v>
      </c>
      <c r="C39" s="21">
        <v>13.15</v>
      </c>
      <c r="D39" s="28"/>
    </row>
    <row r="40" spans="2:4">
      <c r="B40" s="57">
        <v>13</v>
      </c>
      <c r="C40" s="21">
        <v>9.1999999999999993</v>
      </c>
      <c r="D40" s="28"/>
    </row>
    <row r="41" spans="2:4">
      <c r="B41" s="57">
        <v>14</v>
      </c>
      <c r="C41" s="21">
        <v>60</v>
      </c>
      <c r="D41" s="28"/>
    </row>
    <row r="42" spans="2:4">
      <c r="B42" s="50" t="s">
        <v>41</v>
      </c>
      <c r="C42" s="53">
        <f>SUM(C28:C41)</f>
        <v>246.24999999999997</v>
      </c>
      <c r="D42" s="29"/>
    </row>
    <row r="43" spans="2:4">
      <c r="C43" s="50">
        <f>ROUNDUP(C42*0.366,2)</f>
        <v>90.13000000000001</v>
      </c>
    </row>
  </sheetData>
  <mergeCells count="3">
    <mergeCell ref="B26:C26"/>
    <mergeCell ref="B4:D4"/>
    <mergeCell ref="B20:D20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showGridLines="0" workbookViewId="0">
      <selection activeCell="E31" sqref="E31:G31"/>
    </sheetView>
  </sheetViews>
  <sheetFormatPr defaultRowHeight="15.75"/>
  <cols>
    <col min="1" max="1" width="35.5703125" style="82" customWidth="1"/>
    <col min="2" max="2" width="21.85546875" style="82" customWidth="1"/>
    <col min="3" max="3" width="36.5703125" style="82" customWidth="1"/>
    <col min="4" max="5" width="15.7109375" style="108" customWidth="1"/>
    <col min="6" max="6" width="18" style="82" customWidth="1"/>
    <col min="7" max="7" width="14.7109375" style="109" customWidth="1"/>
    <col min="8" max="8" width="9.5703125" style="82" bestFit="1" customWidth="1"/>
    <col min="9" max="9" width="12.7109375" style="82" bestFit="1" customWidth="1"/>
    <col min="10" max="255" width="9.140625" style="82"/>
    <col min="256" max="256" width="16.85546875" style="82" customWidth="1"/>
    <col min="257" max="257" width="12.28515625" style="82" customWidth="1"/>
    <col min="258" max="258" width="42.5703125" style="82" customWidth="1"/>
    <col min="259" max="259" width="19.5703125" style="82" customWidth="1"/>
    <col min="260" max="260" width="13" style="82" bestFit="1" customWidth="1"/>
    <col min="261" max="261" width="16.28515625" style="82" customWidth="1"/>
    <col min="262" max="262" width="14.7109375" style="82" customWidth="1"/>
    <col min="263" max="511" width="9.140625" style="82"/>
    <col min="512" max="512" width="16.85546875" style="82" customWidth="1"/>
    <col min="513" max="513" width="12.28515625" style="82" customWidth="1"/>
    <col min="514" max="514" width="42.5703125" style="82" customWidth="1"/>
    <col min="515" max="515" width="19.5703125" style="82" customWidth="1"/>
    <col min="516" max="516" width="13" style="82" bestFit="1" customWidth="1"/>
    <col min="517" max="517" width="16.28515625" style="82" customWidth="1"/>
    <col min="518" max="518" width="14.7109375" style="82" customWidth="1"/>
    <col min="519" max="767" width="9.140625" style="82"/>
    <col min="768" max="768" width="16.85546875" style="82" customWidth="1"/>
    <col min="769" max="769" width="12.28515625" style="82" customWidth="1"/>
    <col min="770" max="770" width="42.5703125" style="82" customWidth="1"/>
    <col min="771" max="771" width="19.5703125" style="82" customWidth="1"/>
    <col min="772" max="772" width="13" style="82" bestFit="1" customWidth="1"/>
    <col min="773" max="773" width="16.28515625" style="82" customWidth="1"/>
    <col min="774" max="774" width="14.7109375" style="82" customWidth="1"/>
    <col min="775" max="1023" width="9.140625" style="82"/>
    <col min="1024" max="1024" width="16.85546875" style="82" customWidth="1"/>
    <col min="1025" max="1025" width="12.28515625" style="82" customWidth="1"/>
    <col min="1026" max="1026" width="42.5703125" style="82" customWidth="1"/>
    <col min="1027" max="1027" width="19.5703125" style="82" customWidth="1"/>
    <col min="1028" max="1028" width="13" style="82" bestFit="1" customWidth="1"/>
    <col min="1029" max="1029" width="16.28515625" style="82" customWidth="1"/>
    <col min="1030" max="1030" width="14.7109375" style="82" customWidth="1"/>
    <col min="1031" max="1279" width="9.140625" style="82"/>
    <col min="1280" max="1280" width="16.85546875" style="82" customWidth="1"/>
    <col min="1281" max="1281" width="12.28515625" style="82" customWidth="1"/>
    <col min="1282" max="1282" width="42.5703125" style="82" customWidth="1"/>
    <col min="1283" max="1283" width="19.5703125" style="82" customWidth="1"/>
    <col min="1284" max="1284" width="13" style="82" bestFit="1" customWidth="1"/>
    <col min="1285" max="1285" width="16.28515625" style="82" customWidth="1"/>
    <col min="1286" max="1286" width="14.7109375" style="82" customWidth="1"/>
    <col min="1287" max="1535" width="9.140625" style="82"/>
    <col min="1536" max="1536" width="16.85546875" style="82" customWidth="1"/>
    <col min="1537" max="1537" width="12.28515625" style="82" customWidth="1"/>
    <col min="1538" max="1538" width="42.5703125" style="82" customWidth="1"/>
    <col min="1539" max="1539" width="19.5703125" style="82" customWidth="1"/>
    <col min="1540" max="1540" width="13" style="82" bestFit="1" customWidth="1"/>
    <col min="1541" max="1541" width="16.28515625" style="82" customWidth="1"/>
    <col min="1542" max="1542" width="14.7109375" style="82" customWidth="1"/>
    <col min="1543" max="1791" width="9.140625" style="82"/>
    <col min="1792" max="1792" width="16.85546875" style="82" customWidth="1"/>
    <col min="1793" max="1793" width="12.28515625" style="82" customWidth="1"/>
    <col min="1794" max="1794" width="42.5703125" style="82" customWidth="1"/>
    <col min="1795" max="1795" width="19.5703125" style="82" customWidth="1"/>
    <col min="1796" max="1796" width="13" style="82" bestFit="1" customWidth="1"/>
    <col min="1797" max="1797" width="16.28515625" style="82" customWidth="1"/>
    <col min="1798" max="1798" width="14.7109375" style="82" customWidth="1"/>
    <col min="1799" max="2047" width="9.140625" style="82"/>
    <col min="2048" max="2048" width="16.85546875" style="82" customWidth="1"/>
    <col min="2049" max="2049" width="12.28515625" style="82" customWidth="1"/>
    <col min="2050" max="2050" width="42.5703125" style="82" customWidth="1"/>
    <col min="2051" max="2051" width="19.5703125" style="82" customWidth="1"/>
    <col min="2052" max="2052" width="13" style="82" bestFit="1" customWidth="1"/>
    <col min="2053" max="2053" width="16.28515625" style="82" customWidth="1"/>
    <col min="2054" max="2054" width="14.7109375" style="82" customWidth="1"/>
    <col min="2055" max="2303" width="9.140625" style="82"/>
    <col min="2304" max="2304" width="16.85546875" style="82" customWidth="1"/>
    <col min="2305" max="2305" width="12.28515625" style="82" customWidth="1"/>
    <col min="2306" max="2306" width="42.5703125" style="82" customWidth="1"/>
    <col min="2307" max="2307" width="19.5703125" style="82" customWidth="1"/>
    <col min="2308" max="2308" width="13" style="82" bestFit="1" customWidth="1"/>
    <col min="2309" max="2309" width="16.28515625" style="82" customWidth="1"/>
    <col min="2310" max="2310" width="14.7109375" style="82" customWidth="1"/>
    <col min="2311" max="2559" width="9.140625" style="82"/>
    <col min="2560" max="2560" width="16.85546875" style="82" customWidth="1"/>
    <col min="2561" max="2561" width="12.28515625" style="82" customWidth="1"/>
    <col min="2562" max="2562" width="42.5703125" style="82" customWidth="1"/>
    <col min="2563" max="2563" width="19.5703125" style="82" customWidth="1"/>
    <col min="2564" max="2564" width="13" style="82" bestFit="1" customWidth="1"/>
    <col min="2565" max="2565" width="16.28515625" style="82" customWidth="1"/>
    <col min="2566" max="2566" width="14.7109375" style="82" customWidth="1"/>
    <col min="2567" max="2815" width="9.140625" style="82"/>
    <col min="2816" max="2816" width="16.85546875" style="82" customWidth="1"/>
    <col min="2817" max="2817" width="12.28515625" style="82" customWidth="1"/>
    <col min="2818" max="2818" width="42.5703125" style="82" customWidth="1"/>
    <col min="2819" max="2819" width="19.5703125" style="82" customWidth="1"/>
    <col min="2820" max="2820" width="13" style="82" bestFit="1" customWidth="1"/>
    <col min="2821" max="2821" width="16.28515625" style="82" customWidth="1"/>
    <col min="2822" max="2822" width="14.7109375" style="82" customWidth="1"/>
    <col min="2823" max="3071" width="9.140625" style="82"/>
    <col min="3072" max="3072" width="16.85546875" style="82" customWidth="1"/>
    <col min="3073" max="3073" width="12.28515625" style="82" customWidth="1"/>
    <col min="3074" max="3074" width="42.5703125" style="82" customWidth="1"/>
    <col min="3075" max="3075" width="19.5703125" style="82" customWidth="1"/>
    <col min="3076" max="3076" width="13" style="82" bestFit="1" customWidth="1"/>
    <col min="3077" max="3077" width="16.28515625" style="82" customWidth="1"/>
    <col min="3078" max="3078" width="14.7109375" style="82" customWidth="1"/>
    <col min="3079" max="3327" width="9.140625" style="82"/>
    <col min="3328" max="3328" width="16.85546875" style="82" customWidth="1"/>
    <col min="3329" max="3329" width="12.28515625" style="82" customWidth="1"/>
    <col min="3330" max="3330" width="42.5703125" style="82" customWidth="1"/>
    <col min="3331" max="3331" width="19.5703125" style="82" customWidth="1"/>
    <col min="3332" max="3332" width="13" style="82" bestFit="1" customWidth="1"/>
    <col min="3333" max="3333" width="16.28515625" style="82" customWidth="1"/>
    <col min="3334" max="3334" width="14.7109375" style="82" customWidth="1"/>
    <col min="3335" max="3583" width="9.140625" style="82"/>
    <col min="3584" max="3584" width="16.85546875" style="82" customWidth="1"/>
    <col min="3585" max="3585" width="12.28515625" style="82" customWidth="1"/>
    <col min="3586" max="3586" width="42.5703125" style="82" customWidth="1"/>
    <col min="3587" max="3587" width="19.5703125" style="82" customWidth="1"/>
    <col min="3588" max="3588" width="13" style="82" bestFit="1" customWidth="1"/>
    <col min="3589" max="3589" width="16.28515625" style="82" customWidth="1"/>
    <col min="3590" max="3590" width="14.7109375" style="82" customWidth="1"/>
    <col min="3591" max="3839" width="9.140625" style="82"/>
    <col min="3840" max="3840" width="16.85546875" style="82" customWidth="1"/>
    <col min="3841" max="3841" width="12.28515625" style="82" customWidth="1"/>
    <col min="3842" max="3842" width="42.5703125" style="82" customWidth="1"/>
    <col min="3843" max="3843" width="19.5703125" style="82" customWidth="1"/>
    <col min="3844" max="3844" width="13" style="82" bestFit="1" customWidth="1"/>
    <col min="3845" max="3845" width="16.28515625" style="82" customWidth="1"/>
    <col min="3846" max="3846" width="14.7109375" style="82" customWidth="1"/>
    <col min="3847" max="4095" width="9.140625" style="82"/>
    <col min="4096" max="4096" width="16.85546875" style="82" customWidth="1"/>
    <col min="4097" max="4097" width="12.28515625" style="82" customWidth="1"/>
    <col min="4098" max="4098" width="42.5703125" style="82" customWidth="1"/>
    <col min="4099" max="4099" width="19.5703125" style="82" customWidth="1"/>
    <col min="4100" max="4100" width="13" style="82" bestFit="1" customWidth="1"/>
    <col min="4101" max="4101" width="16.28515625" style="82" customWidth="1"/>
    <col min="4102" max="4102" width="14.7109375" style="82" customWidth="1"/>
    <col min="4103" max="4351" width="9.140625" style="82"/>
    <col min="4352" max="4352" width="16.85546875" style="82" customWidth="1"/>
    <col min="4353" max="4353" width="12.28515625" style="82" customWidth="1"/>
    <col min="4354" max="4354" width="42.5703125" style="82" customWidth="1"/>
    <col min="4355" max="4355" width="19.5703125" style="82" customWidth="1"/>
    <col min="4356" max="4356" width="13" style="82" bestFit="1" customWidth="1"/>
    <col min="4357" max="4357" width="16.28515625" style="82" customWidth="1"/>
    <col min="4358" max="4358" width="14.7109375" style="82" customWidth="1"/>
    <col min="4359" max="4607" width="9.140625" style="82"/>
    <col min="4608" max="4608" width="16.85546875" style="82" customWidth="1"/>
    <col min="4609" max="4609" width="12.28515625" style="82" customWidth="1"/>
    <col min="4610" max="4610" width="42.5703125" style="82" customWidth="1"/>
    <col min="4611" max="4611" width="19.5703125" style="82" customWidth="1"/>
    <col min="4612" max="4612" width="13" style="82" bestFit="1" customWidth="1"/>
    <col min="4613" max="4613" width="16.28515625" style="82" customWidth="1"/>
    <col min="4614" max="4614" width="14.7109375" style="82" customWidth="1"/>
    <col min="4615" max="4863" width="9.140625" style="82"/>
    <col min="4864" max="4864" width="16.85546875" style="82" customWidth="1"/>
    <col min="4865" max="4865" width="12.28515625" style="82" customWidth="1"/>
    <col min="4866" max="4866" width="42.5703125" style="82" customWidth="1"/>
    <col min="4867" max="4867" width="19.5703125" style="82" customWidth="1"/>
    <col min="4868" max="4868" width="13" style="82" bestFit="1" customWidth="1"/>
    <col min="4869" max="4869" width="16.28515625" style="82" customWidth="1"/>
    <col min="4870" max="4870" width="14.7109375" style="82" customWidth="1"/>
    <col min="4871" max="5119" width="9.140625" style="82"/>
    <col min="5120" max="5120" width="16.85546875" style="82" customWidth="1"/>
    <col min="5121" max="5121" width="12.28515625" style="82" customWidth="1"/>
    <col min="5122" max="5122" width="42.5703125" style="82" customWidth="1"/>
    <col min="5123" max="5123" width="19.5703125" style="82" customWidth="1"/>
    <col min="5124" max="5124" width="13" style="82" bestFit="1" customWidth="1"/>
    <col min="5125" max="5125" width="16.28515625" style="82" customWidth="1"/>
    <col min="5126" max="5126" width="14.7109375" style="82" customWidth="1"/>
    <col min="5127" max="5375" width="9.140625" style="82"/>
    <col min="5376" max="5376" width="16.85546875" style="82" customWidth="1"/>
    <col min="5377" max="5377" width="12.28515625" style="82" customWidth="1"/>
    <col min="5378" max="5378" width="42.5703125" style="82" customWidth="1"/>
    <col min="5379" max="5379" width="19.5703125" style="82" customWidth="1"/>
    <col min="5380" max="5380" width="13" style="82" bestFit="1" customWidth="1"/>
    <col min="5381" max="5381" width="16.28515625" style="82" customWidth="1"/>
    <col min="5382" max="5382" width="14.7109375" style="82" customWidth="1"/>
    <col min="5383" max="5631" width="9.140625" style="82"/>
    <col min="5632" max="5632" width="16.85546875" style="82" customWidth="1"/>
    <col min="5633" max="5633" width="12.28515625" style="82" customWidth="1"/>
    <col min="5634" max="5634" width="42.5703125" style="82" customWidth="1"/>
    <col min="5635" max="5635" width="19.5703125" style="82" customWidth="1"/>
    <col min="5636" max="5636" width="13" style="82" bestFit="1" customWidth="1"/>
    <col min="5637" max="5637" width="16.28515625" style="82" customWidth="1"/>
    <col min="5638" max="5638" width="14.7109375" style="82" customWidth="1"/>
    <col min="5639" max="5887" width="9.140625" style="82"/>
    <col min="5888" max="5888" width="16.85546875" style="82" customWidth="1"/>
    <col min="5889" max="5889" width="12.28515625" style="82" customWidth="1"/>
    <col min="5890" max="5890" width="42.5703125" style="82" customWidth="1"/>
    <col min="5891" max="5891" width="19.5703125" style="82" customWidth="1"/>
    <col min="5892" max="5892" width="13" style="82" bestFit="1" customWidth="1"/>
    <col min="5893" max="5893" width="16.28515625" style="82" customWidth="1"/>
    <col min="5894" max="5894" width="14.7109375" style="82" customWidth="1"/>
    <col min="5895" max="6143" width="9.140625" style="82"/>
    <col min="6144" max="6144" width="16.85546875" style="82" customWidth="1"/>
    <col min="6145" max="6145" width="12.28515625" style="82" customWidth="1"/>
    <col min="6146" max="6146" width="42.5703125" style="82" customWidth="1"/>
    <col min="6147" max="6147" width="19.5703125" style="82" customWidth="1"/>
    <col min="6148" max="6148" width="13" style="82" bestFit="1" customWidth="1"/>
    <col min="6149" max="6149" width="16.28515625" style="82" customWidth="1"/>
    <col min="6150" max="6150" width="14.7109375" style="82" customWidth="1"/>
    <col min="6151" max="6399" width="9.140625" style="82"/>
    <col min="6400" max="6400" width="16.85546875" style="82" customWidth="1"/>
    <col min="6401" max="6401" width="12.28515625" style="82" customWidth="1"/>
    <col min="6402" max="6402" width="42.5703125" style="82" customWidth="1"/>
    <col min="6403" max="6403" width="19.5703125" style="82" customWidth="1"/>
    <col min="6404" max="6404" width="13" style="82" bestFit="1" customWidth="1"/>
    <col min="6405" max="6405" width="16.28515625" style="82" customWidth="1"/>
    <col min="6406" max="6406" width="14.7109375" style="82" customWidth="1"/>
    <col min="6407" max="6655" width="9.140625" style="82"/>
    <col min="6656" max="6656" width="16.85546875" style="82" customWidth="1"/>
    <col min="6657" max="6657" width="12.28515625" style="82" customWidth="1"/>
    <col min="6658" max="6658" width="42.5703125" style="82" customWidth="1"/>
    <col min="6659" max="6659" width="19.5703125" style="82" customWidth="1"/>
    <col min="6660" max="6660" width="13" style="82" bestFit="1" customWidth="1"/>
    <col min="6661" max="6661" width="16.28515625" style="82" customWidth="1"/>
    <col min="6662" max="6662" width="14.7109375" style="82" customWidth="1"/>
    <col min="6663" max="6911" width="9.140625" style="82"/>
    <col min="6912" max="6912" width="16.85546875" style="82" customWidth="1"/>
    <col min="6913" max="6913" width="12.28515625" style="82" customWidth="1"/>
    <col min="6914" max="6914" width="42.5703125" style="82" customWidth="1"/>
    <col min="6915" max="6915" width="19.5703125" style="82" customWidth="1"/>
    <col min="6916" max="6916" width="13" style="82" bestFit="1" customWidth="1"/>
    <col min="6917" max="6917" width="16.28515625" style="82" customWidth="1"/>
    <col min="6918" max="6918" width="14.7109375" style="82" customWidth="1"/>
    <col min="6919" max="7167" width="9.140625" style="82"/>
    <col min="7168" max="7168" width="16.85546875" style="82" customWidth="1"/>
    <col min="7169" max="7169" width="12.28515625" style="82" customWidth="1"/>
    <col min="7170" max="7170" width="42.5703125" style="82" customWidth="1"/>
    <col min="7171" max="7171" width="19.5703125" style="82" customWidth="1"/>
    <col min="7172" max="7172" width="13" style="82" bestFit="1" customWidth="1"/>
    <col min="7173" max="7173" width="16.28515625" style="82" customWidth="1"/>
    <col min="7174" max="7174" width="14.7109375" style="82" customWidth="1"/>
    <col min="7175" max="7423" width="9.140625" style="82"/>
    <col min="7424" max="7424" width="16.85546875" style="82" customWidth="1"/>
    <col min="7425" max="7425" width="12.28515625" style="82" customWidth="1"/>
    <col min="7426" max="7426" width="42.5703125" style="82" customWidth="1"/>
    <col min="7427" max="7427" width="19.5703125" style="82" customWidth="1"/>
    <col min="7428" max="7428" width="13" style="82" bestFit="1" customWidth="1"/>
    <col min="7429" max="7429" width="16.28515625" style="82" customWidth="1"/>
    <col min="7430" max="7430" width="14.7109375" style="82" customWidth="1"/>
    <col min="7431" max="7679" width="9.140625" style="82"/>
    <col min="7680" max="7680" width="16.85546875" style="82" customWidth="1"/>
    <col min="7681" max="7681" width="12.28515625" style="82" customWidth="1"/>
    <col min="7682" max="7682" width="42.5703125" style="82" customWidth="1"/>
    <col min="7683" max="7683" width="19.5703125" style="82" customWidth="1"/>
    <col min="7684" max="7684" width="13" style="82" bestFit="1" customWidth="1"/>
    <col min="7685" max="7685" width="16.28515625" style="82" customWidth="1"/>
    <col min="7686" max="7686" width="14.7109375" style="82" customWidth="1"/>
    <col min="7687" max="7935" width="9.140625" style="82"/>
    <col min="7936" max="7936" width="16.85546875" style="82" customWidth="1"/>
    <col min="7937" max="7937" width="12.28515625" style="82" customWidth="1"/>
    <col min="7938" max="7938" width="42.5703125" style="82" customWidth="1"/>
    <col min="7939" max="7939" width="19.5703125" style="82" customWidth="1"/>
    <col min="7940" max="7940" width="13" style="82" bestFit="1" customWidth="1"/>
    <col min="7941" max="7941" width="16.28515625" style="82" customWidth="1"/>
    <col min="7942" max="7942" width="14.7109375" style="82" customWidth="1"/>
    <col min="7943" max="8191" width="9.140625" style="82"/>
    <col min="8192" max="8192" width="16.85546875" style="82" customWidth="1"/>
    <col min="8193" max="8193" width="12.28515625" style="82" customWidth="1"/>
    <col min="8194" max="8194" width="42.5703125" style="82" customWidth="1"/>
    <col min="8195" max="8195" width="19.5703125" style="82" customWidth="1"/>
    <col min="8196" max="8196" width="13" style="82" bestFit="1" customWidth="1"/>
    <col min="8197" max="8197" width="16.28515625" style="82" customWidth="1"/>
    <col min="8198" max="8198" width="14.7109375" style="82" customWidth="1"/>
    <col min="8199" max="8447" width="9.140625" style="82"/>
    <col min="8448" max="8448" width="16.85546875" style="82" customWidth="1"/>
    <col min="8449" max="8449" width="12.28515625" style="82" customWidth="1"/>
    <col min="8450" max="8450" width="42.5703125" style="82" customWidth="1"/>
    <col min="8451" max="8451" width="19.5703125" style="82" customWidth="1"/>
    <col min="8452" max="8452" width="13" style="82" bestFit="1" customWidth="1"/>
    <col min="8453" max="8453" width="16.28515625" style="82" customWidth="1"/>
    <col min="8454" max="8454" width="14.7109375" style="82" customWidth="1"/>
    <col min="8455" max="8703" width="9.140625" style="82"/>
    <col min="8704" max="8704" width="16.85546875" style="82" customWidth="1"/>
    <col min="8705" max="8705" width="12.28515625" style="82" customWidth="1"/>
    <col min="8706" max="8706" width="42.5703125" style="82" customWidth="1"/>
    <col min="8707" max="8707" width="19.5703125" style="82" customWidth="1"/>
    <col min="8708" max="8708" width="13" style="82" bestFit="1" customWidth="1"/>
    <col min="8709" max="8709" width="16.28515625" style="82" customWidth="1"/>
    <col min="8710" max="8710" width="14.7109375" style="82" customWidth="1"/>
    <col min="8711" max="8959" width="9.140625" style="82"/>
    <col min="8960" max="8960" width="16.85546875" style="82" customWidth="1"/>
    <col min="8961" max="8961" width="12.28515625" style="82" customWidth="1"/>
    <col min="8962" max="8962" width="42.5703125" style="82" customWidth="1"/>
    <col min="8963" max="8963" width="19.5703125" style="82" customWidth="1"/>
    <col min="8964" max="8964" width="13" style="82" bestFit="1" customWidth="1"/>
    <col min="8965" max="8965" width="16.28515625" style="82" customWidth="1"/>
    <col min="8966" max="8966" width="14.7109375" style="82" customWidth="1"/>
    <col min="8967" max="9215" width="9.140625" style="82"/>
    <col min="9216" max="9216" width="16.85546875" style="82" customWidth="1"/>
    <col min="9217" max="9217" width="12.28515625" style="82" customWidth="1"/>
    <col min="9218" max="9218" width="42.5703125" style="82" customWidth="1"/>
    <col min="9219" max="9219" width="19.5703125" style="82" customWidth="1"/>
    <col min="9220" max="9220" width="13" style="82" bestFit="1" customWidth="1"/>
    <col min="9221" max="9221" width="16.28515625" style="82" customWidth="1"/>
    <col min="9222" max="9222" width="14.7109375" style="82" customWidth="1"/>
    <col min="9223" max="9471" width="9.140625" style="82"/>
    <col min="9472" max="9472" width="16.85546875" style="82" customWidth="1"/>
    <col min="9473" max="9473" width="12.28515625" style="82" customWidth="1"/>
    <col min="9474" max="9474" width="42.5703125" style="82" customWidth="1"/>
    <col min="9475" max="9475" width="19.5703125" style="82" customWidth="1"/>
    <col min="9476" max="9476" width="13" style="82" bestFit="1" customWidth="1"/>
    <col min="9477" max="9477" width="16.28515625" style="82" customWidth="1"/>
    <col min="9478" max="9478" width="14.7109375" style="82" customWidth="1"/>
    <col min="9479" max="9727" width="9.140625" style="82"/>
    <col min="9728" max="9728" width="16.85546875" style="82" customWidth="1"/>
    <col min="9729" max="9729" width="12.28515625" style="82" customWidth="1"/>
    <col min="9730" max="9730" width="42.5703125" style="82" customWidth="1"/>
    <col min="9731" max="9731" width="19.5703125" style="82" customWidth="1"/>
    <col min="9732" max="9732" width="13" style="82" bestFit="1" customWidth="1"/>
    <col min="9733" max="9733" width="16.28515625" style="82" customWidth="1"/>
    <col min="9734" max="9734" width="14.7109375" style="82" customWidth="1"/>
    <col min="9735" max="9983" width="9.140625" style="82"/>
    <col min="9984" max="9984" width="16.85546875" style="82" customWidth="1"/>
    <col min="9985" max="9985" width="12.28515625" style="82" customWidth="1"/>
    <col min="9986" max="9986" width="42.5703125" style="82" customWidth="1"/>
    <col min="9987" max="9987" width="19.5703125" style="82" customWidth="1"/>
    <col min="9988" max="9988" width="13" style="82" bestFit="1" customWidth="1"/>
    <col min="9989" max="9989" width="16.28515625" style="82" customWidth="1"/>
    <col min="9990" max="9990" width="14.7109375" style="82" customWidth="1"/>
    <col min="9991" max="10239" width="9.140625" style="82"/>
    <col min="10240" max="10240" width="16.85546875" style="82" customWidth="1"/>
    <col min="10241" max="10241" width="12.28515625" style="82" customWidth="1"/>
    <col min="10242" max="10242" width="42.5703125" style="82" customWidth="1"/>
    <col min="10243" max="10243" width="19.5703125" style="82" customWidth="1"/>
    <col min="10244" max="10244" width="13" style="82" bestFit="1" customWidth="1"/>
    <col min="10245" max="10245" width="16.28515625" style="82" customWidth="1"/>
    <col min="10246" max="10246" width="14.7109375" style="82" customWidth="1"/>
    <col min="10247" max="10495" width="9.140625" style="82"/>
    <col min="10496" max="10496" width="16.85546875" style="82" customWidth="1"/>
    <col min="10497" max="10497" width="12.28515625" style="82" customWidth="1"/>
    <col min="10498" max="10498" width="42.5703125" style="82" customWidth="1"/>
    <col min="10499" max="10499" width="19.5703125" style="82" customWidth="1"/>
    <col min="10500" max="10500" width="13" style="82" bestFit="1" customWidth="1"/>
    <col min="10501" max="10501" width="16.28515625" style="82" customWidth="1"/>
    <col min="10502" max="10502" width="14.7109375" style="82" customWidth="1"/>
    <col min="10503" max="10751" width="9.140625" style="82"/>
    <col min="10752" max="10752" width="16.85546875" style="82" customWidth="1"/>
    <col min="10753" max="10753" width="12.28515625" style="82" customWidth="1"/>
    <col min="10754" max="10754" width="42.5703125" style="82" customWidth="1"/>
    <col min="10755" max="10755" width="19.5703125" style="82" customWidth="1"/>
    <col min="10756" max="10756" width="13" style="82" bestFit="1" customWidth="1"/>
    <col min="10757" max="10757" width="16.28515625" style="82" customWidth="1"/>
    <col min="10758" max="10758" width="14.7109375" style="82" customWidth="1"/>
    <col min="10759" max="11007" width="9.140625" style="82"/>
    <col min="11008" max="11008" width="16.85546875" style="82" customWidth="1"/>
    <col min="11009" max="11009" width="12.28515625" style="82" customWidth="1"/>
    <col min="11010" max="11010" width="42.5703125" style="82" customWidth="1"/>
    <col min="11011" max="11011" width="19.5703125" style="82" customWidth="1"/>
    <col min="11012" max="11012" width="13" style="82" bestFit="1" customWidth="1"/>
    <col min="11013" max="11013" width="16.28515625" style="82" customWidth="1"/>
    <col min="11014" max="11014" width="14.7109375" style="82" customWidth="1"/>
    <col min="11015" max="11263" width="9.140625" style="82"/>
    <col min="11264" max="11264" width="16.85546875" style="82" customWidth="1"/>
    <col min="11265" max="11265" width="12.28515625" style="82" customWidth="1"/>
    <col min="11266" max="11266" width="42.5703125" style="82" customWidth="1"/>
    <col min="11267" max="11267" width="19.5703125" style="82" customWidth="1"/>
    <col min="11268" max="11268" width="13" style="82" bestFit="1" customWidth="1"/>
    <col min="11269" max="11269" width="16.28515625" style="82" customWidth="1"/>
    <col min="11270" max="11270" width="14.7109375" style="82" customWidth="1"/>
    <col min="11271" max="11519" width="9.140625" style="82"/>
    <col min="11520" max="11520" width="16.85546875" style="82" customWidth="1"/>
    <col min="11521" max="11521" width="12.28515625" style="82" customWidth="1"/>
    <col min="11522" max="11522" width="42.5703125" style="82" customWidth="1"/>
    <col min="11523" max="11523" width="19.5703125" style="82" customWidth="1"/>
    <col min="11524" max="11524" width="13" style="82" bestFit="1" customWidth="1"/>
    <col min="11525" max="11525" width="16.28515625" style="82" customWidth="1"/>
    <col min="11526" max="11526" width="14.7109375" style="82" customWidth="1"/>
    <col min="11527" max="11775" width="9.140625" style="82"/>
    <col min="11776" max="11776" width="16.85546875" style="82" customWidth="1"/>
    <col min="11777" max="11777" width="12.28515625" style="82" customWidth="1"/>
    <col min="11778" max="11778" width="42.5703125" style="82" customWidth="1"/>
    <col min="11779" max="11779" width="19.5703125" style="82" customWidth="1"/>
    <col min="11780" max="11780" width="13" style="82" bestFit="1" customWidth="1"/>
    <col min="11781" max="11781" width="16.28515625" style="82" customWidth="1"/>
    <col min="11782" max="11782" width="14.7109375" style="82" customWidth="1"/>
    <col min="11783" max="12031" width="9.140625" style="82"/>
    <col min="12032" max="12032" width="16.85546875" style="82" customWidth="1"/>
    <col min="12033" max="12033" width="12.28515625" style="82" customWidth="1"/>
    <col min="12034" max="12034" width="42.5703125" style="82" customWidth="1"/>
    <col min="12035" max="12035" width="19.5703125" style="82" customWidth="1"/>
    <col min="12036" max="12036" width="13" style="82" bestFit="1" customWidth="1"/>
    <col min="12037" max="12037" width="16.28515625" style="82" customWidth="1"/>
    <col min="12038" max="12038" width="14.7109375" style="82" customWidth="1"/>
    <col min="12039" max="12287" width="9.140625" style="82"/>
    <col min="12288" max="12288" width="16.85546875" style="82" customWidth="1"/>
    <col min="12289" max="12289" width="12.28515625" style="82" customWidth="1"/>
    <col min="12290" max="12290" width="42.5703125" style="82" customWidth="1"/>
    <col min="12291" max="12291" width="19.5703125" style="82" customWidth="1"/>
    <col min="12292" max="12292" width="13" style="82" bestFit="1" customWidth="1"/>
    <col min="12293" max="12293" width="16.28515625" style="82" customWidth="1"/>
    <col min="12294" max="12294" width="14.7109375" style="82" customWidth="1"/>
    <col min="12295" max="12543" width="9.140625" style="82"/>
    <col min="12544" max="12544" width="16.85546875" style="82" customWidth="1"/>
    <col min="12545" max="12545" width="12.28515625" style="82" customWidth="1"/>
    <col min="12546" max="12546" width="42.5703125" style="82" customWidth="1"/>
    <col min="12547" max="12547" width="19.5703125" style="82" customWidth="1"/>
    <col min="12548" max="12548" width="13" style="82" bestFit="1" customWidth="1"/>
    <col min="12549" max="12549" width="16.28515625" style="82" customWidth="1"/>
    <col min="12550" max="12550" width="14.7109375" style="82" customWidth="1"/>
    <col min="12551" max="12799" width="9.140625" style="82"/>
    <col min="12800" max="12800" width="16.85546875" style="82" customWidth="1"/>
    <col min="12801" max="12801" width="12.28515625" style="82" customWidth="1"/>
    <col min="12802" max="12802" width="42.5703125" style="82" customWidth="1"/>
    <col min="12803" max="12803" width="19.5703125" style="82" customWidth="1"/>
    <col min="12804" max="12804" width="13" style="82" bestFit="1" customWidth="1"/>
    <col min="12805" max="12805" width="16.28515625" style="82" customWidth="1"/>
    <col min="12806" max="12806" width="14.7109375" style="82" customWidth="1"/>
    <col min="12807" max="13055" width="9.140625" style="82"/>
    <col min="13056" max="13056" width="16.85546875" style="82" customWidth="1"/>
    <col min="13057" max="13057" width="12.28515625" style="82" customWidth="1"/>
    <col min="13058" max="13058" width="42.5703125" style="82" customWidth="1"/>
    <col min="13059" max="13059" width="19.5703125" style="82" customWidth="1"/>
    <col min="13060" max="13060" width="13" style="82" bestFit="1" customWidth="1"/>
    <col min="13061" max="13061" width="16.28515625" style="82" customWidth="1"/>
    <col min="13062" max="13062" width="14.7109375" style="82" customWidth="1"/>
    <col min="13063" max="13311" width="9.140625" style="82"/>
    <col min="13312" max="13312" width="16.85546875" style="82" customWidth="1"/>
    <col min="13313" max="13313" width="12.28515625" style="82" customWidth="1"/>
    <col min="13314" max="13314" width="42.5703125" style="82" customWidth="1"/>
    <col min="13315" max="13315" width="19.5703125" style="82" customWidth="1"/>
    <col min="13316" max="13316" width="13" style="82" bestFit="1" customWidth="1"/>
    <col min="13317" max="13317" width="16.28515625" style="82" customWidth="1"/>
    <col min="13318" max="13318" width="14.7109375" style="82" customWidth="1"/>
    <col min="13319" max="13567" width="9.140625" style="82"/>
    <col min="13568" max="13568" width="16.85546875" style="82" customWidth="1"/>
    <col min="13569" max="13569" width="12.28515625" style="82" customWidth="1"/>
    <col min="13570" max="13570" width="42.5703125" style="82" customWidth="1"/>
    <col min="13571" max="13571" width="19.5703125" style="82" customWidth="1"/>
    <col min="13572" max="13572" width="13" style="82" bestFit="1" customWidth="1"/>
    <col min="13573" max="13573" width="16.28515625" style="82" customWidth="1"/>
    <col min="13574" max="13574" width="14.7109375" style="82" customWidth="1"/>
    <col min="13575" max="13823" width="9.140625" style="82"/>
    <col min="13824" max="13824" width="16.85546875" style="82" customWidth="1"/>
    <col min="13825" max="13825" width="12.28515625" style="82" customWidth="1"/>
    <col min="13826" max="13826" width="42.5703125" style="82" customWidth="1"/>
    <col min="13827" max="13827" width="19.5703125" style="82" customWidth="1"/>
    <col min="13828" max="13828" width="13" style="82" bestFit="1" customWidth="1"/>
    <col min="13829" max="13829" width="16.28515625" style="82" customWidth="1"/>
    <col min="13830" max="13830" width="14.7109375" style="82" customWidth="1"/>
    <col min="13831" max="14079" width="9.140625" style="82"/>
    <col min="14080" max="14080" width="16.85546875" style="82" customWidth="1"/>
    <col min="14081" max="14081" width="12.28515625" style="82" customWidth="1"/>
    <col min="14082" max="14082" width="42.5703125" style="82" customWidth="1"/>
    <col min="14083" max="14083" width="19.5703125" style="82" customWidth="1"/>
    <col min="14084" max="14084" width="13" style="82" bestFit="1" customWidth="1"/>
    <col min="14085" max="14085" width="16.28515625" style="82" customWidth="1"/>
    <col min="14086" max="14086" width="14.7109375" style="82" customWidth="1"/>
    <col min="14087" max="14335" width="9.140625" style="82"/>
    <col min="14336" max="14336" width="16.85546875" style="82" customWidth="1"/>
    <col min="14337" max="14337" width="12.28515625" style="82" customWidth="1"/>
    <col min="14338" max="14338" width="42.5703125" style="82" customWidth="1"/>
    <col min="14339" max="14339" width="19.5703125" style="82" customWidth="1"/>
    <col min="14340" max="14340" width="13" style="82" bestFit="1" customWidth="1"/>
    <col min="14341" max="14341" width="16.28515625" style="82" customWidth="1"/>
    <col min="14342" max="14342" width="14.7109375" style="82" customWidth="1"/>
    <col min="14343" max="14591" width="9.140625" style="82"/>
    <col min="14592" max="14592" width="16.85546875" style="82" customWidth="1"/>
    <col min="14593" max="14593" width="12.28515625" style="82" customWidth="1"/>
    <col min="14594" max="14594" width="42.5703125" style="82" customWidth="1"/>
    <col min="14595" max="14595" width="19.5703125" style="82" customWidth="1"/>
    <col min="14596" max="14596" width="13" style="82" bestFit="1" customWidth="1"/>
    <col min="14597" max="14597" width="16.28515625" style="82" customWidth="1"/>
    <col min="14598" max="14598" width="14.7109375" style="82" customWidth="1"/>
    <col min="14599" max="14847" width="9.140625" style="82"/>
    <col min="14848" max="14848" width="16.85546875" style="82" customWidth="1"/>
    <col min="14849" max="14849" width="12.28515625" style="82" customWidth="1"/>
    <col min="14850" max="14850" width="42.5703125" style="82" customWidth="1"/>
    <col min="14851" max="14851" width="19.5703125" style="82" customWidth="1"/>
    <col min="14852" max="14852" width="13" style="82" bestFit="1" customWidth="1"/>
    <col min="14853" max="14853" width="16.28515625" style="82" customWidth="1"/>
    <col min="14854" max="14854" width="14.7109375" style="82" customWidth="1"/>
    <col min="14855" max="15103" width="9.140625" style="82"/>
    <col min="15104" max="15104" width="16.85546875" style="82" customWidth="1"/>
    <col min="15105" max="15105" width="12.28515625" style="82" customWidth="1"/>
    <col min="15106" max="15106" width="42.5703125" style="82" customWidth="1"/>
    <col min="15107" max="15107" width="19.5703125" style="82" customWidth="1"/>
    <col min="15108" max="15108" width="13" style="82" bestFit="1" customWidth="1"/>
    <col min="15109" max="15109" width="16.28515625" style="82" customWidth="1"/>
    <col min="15110" max="15110" width="14.7109375" style="82" customWidth="1"/>
    <col min="15111" max="15359" width="9.140625" style="82"/>
    <col min="15360" max="15360" width="16.85546875" style="82" customWidth="1"/>
    <col min="15361" max="15361" width="12.28515625" style="82" customWidth="1"/>
    <col min="15362" max="15362" width="42.5703125" style="82" customWidth="1"/>
    <col min="15363" max="15363" width="19.5703125" style="82" customWidth="1"/>
    <col min="15364" max="15364" width="13" style="82" bestFit="1" customWidth="1"/>
    <col min="15365" max="15365" width="16.28515625" style="82" customWidth="1"/>
    <col min="15366" max="15366" width="14.7109375" style="82" customWidth="1"/>
    <col min="15367" max="15615" width="9.140625" style="82"/>
    <col min="15616" max="15616" width="16.85546875" style="82" customWidth="1"/>
    <col min="15617" max="15617" width="12.28515625" style="82" customWidth="1"/>
    <col min="15618" max="15618" width="42.5703125" style="82" customWidth="1"/>
    <col min="15619" max="15619" width="19.5703125" style="82" customWidth="1"/>
    <col min="15620" max="15620" width="13" style="82" bestFit="1" customWidth="1"/>
    <col min="15621" max="15621" width="16.28515625" style="82" customWidth="1"/>
    <col min="15622" max="15622" width="14.7109375" style="82" customWidth="1"/>
    <col min="15623" max="15871" width="9.140625" style="82"/>
    <col min="15872" max="15872" width="16.85546875" style="82" customWidth="1"/>
    <col min="15873" max="15873" width="12.28515625" style="82" customWidth="1"/>
    <col min="15874" max="15874" width="42.5703125" style="82" customWidth="1"/>
    <col min="15875" max="15875" width="19.5703125" style="82" customWidth="1"/>
    <col min="15876" max="15876" width="13" style="82" bestFit="1" customWidth="1"/>
    <col min="15877" max="15877" width="16.28515625" style="82" customWidth="1"/>
    <col min="15878" max="15878" width="14.7109375" style="82" customWidth="1"/>
    <col min="15879" max="16127" width="9.140625" style="82"/>
    <col min="16128" max="16128" width="16.85546875" style="82" customWidth="1"/>
    <col min="16129" max="16129" width="12.28515625" style="82" customWidth="1"/>
    <col min="16130" max="16130" width="42.5703125" style="82" customWidth="1"/>
    <col min="16131" max="16131" width="19.5703125" style="82" customWidth="1"/>
    <col min="16132" max="16132" width="13" style="82" bestFit="1" customWidth="1"/>
    <col min="16133" max="16133" width="16.28515625" style="82" customWidth="1"/>
    <col min="16134" max="16134" width="14.7109375" style="82" customWidth="1"/>
    <col min="16135" max="16384" width="9.140625" style="82"/>
  </cols>
  <sheetData>
    <row r="1" spans="1:7" ht="5.0999999999999996" customHeight="1">
      <c r="A1" s="183"/>
      <c r="B1" s="184"/>
      <c r="C1" s="184"/>
      <c r="D1" s="184"/>
      <c r="E1" s="184"/>
      <c r="F1" s="184"/>
      <c r="G1" s="184"/>
    </row>
    <row r="2" spans="1:7" ht="12" customHeight="1">
      <c r="A2" s="185" t="s">
        <v>268</v>
      </c>
      <c r="B2" s="186"/>
      <c r="C2" s="186"/>
      <c r="D2" s="186"/>
      <c r="E2" s="186"/>
      <c r="F2" s="186"/>
      <c r="G2" s="186"/>
    </row>
    <row r="3" spans="1:7" ht="12" customHeight="1">
      <c r="A3" s="159" t="s">
        <v>269</v>
      </c>
      <c r="B3" s="160"/>
      <c r="C3" s="160"/>
      <c r="D3" s="160"/>
      <c r="E3" s="160"/>
      <c r="F3" s="160"/>
      <c r="G3" s="160"/>
    </row>
    <row r="4" spans="1:7" ht="12" customHeight="1">
      <c r="A4" s="187" t="s">
        <v>270</v>
      </c>
      <c r="B4" s="188"/>
      <c r="C4" s="188"/>
      <c r="D4" s="188"/>
      <c r="E4" s="188"/>
      <c r="F4" s="188"/>
      <c r="G4" s="188"/>
    </row>
    <row r="5" spans="1:7" ht="12" customHeight="1">
      <c r="A5" s="159" t="s">
        <v>15</v>
      </c>
      <c r="B5" s="160"/>
      <c r="C5" s="160"/>
      <c r="D5" s="160"/>
      <c r="E5" s="160"/>
      <c r="F5" s="160"/>
      <c r="G5" s="160"/>
    </row>
    <row r="6" spans="1:7" ht="12" customHeight="1">
      <c r="A6" s="159" t="s">
        <v>271</v>
      </c>
      <c r="B6" s="160"/>
      <c r="C6" s="160"/>
      <c r="D6" s="160"/>
      <c r="E6" s="160"/>
      <c r="F6" s="160"/>
      <c r="G6" s="160"/>
    </row>
    <row r="7" spans="1:7" ht="12" customHeight="1">
      <c r="A7" s="159" t="s">
        <v>272</v>
      </c>
      <c r="B7" s="160"/>
      <c r="C7" s="160"/>
      <c r="D7" s="160"/>
      <c r="E7" s="160"/>
      <c r="F7" s="160"/>
      <c r="G7" s="160"/>
    </row>
    <row r="8" spans="1:7" ht="5.0999999999999996" customHeight="1">
      <c r="A8" s="175"/>
      <c r="B8" s="176"/>
      <c r="C8" s="176"/>
      <c r="D8" s="176"/>
      <c r="E8" s="176"/>
      <c r="F8" s="176"/>
      <c r="G8" s="176"/>
    </row>
    <row r="9" spans="1:7" ht="27.95" customHeight="1">
      <c r="A9" s="177" t="s">
        <v>288</v>
      </c>
      <c r="B9" s="177"/>
      <c r="C9" s="177"/>
      <c r="D9" s="178" t="s">
        <v>289</v>
      </c>
      <c r="E9" s="178"/>
      <c r="F9" s="178"/>
      <c r="G9" s="178"/>
    </row>
    <row r="10" spans="1:7">
      <c r="A10" s="179" t="s">
        <v>290</v>
      </c>
      <c r="B10" s="180"/>
      <c r="C10" s="180"/>
      <c r="D10" s="180"/>
      <c r="E10" s="180"/>
      <c r="F10" s="180"/>
      <c r="G10" s="181"/>
    </row>
    <row r="11" spans="1:7" ht="6" customHeight="1">
      <c r="A11" s="182"/>
      <c r="B11" s="182"/>
      <c r="C11" s="182"/>
      <c r="D11" s="182"/>
      <c r="E11" s="83"/>
      <c r="F11" s="84"/>
      <c r="G11" s="84"/>
    </row>
    <row r="12" spans="1:7" ht="3.95" customHeight="1">
      <c r="A12" s="191" t="s">
        <v>393</v>
      </c>
      <c r="B12" s="191"/>
      <c r="C12" s="191"/>
      <c r="D12" s="191"/>
      <c r="E12" s="191"/>
      <c r="F12" s="191"/>
      <c r="G12" s="191"/>
    </row>
    <row r="13" spans="1:7" ht="3.95" customHeight="1">
      <c r="A13" s="191"/>
      <c r="B13" s="191"/>
      <c r="C13" s="191"/>
      <c r="D13" s="191"/>
      <c r="E13" s="191"/>
      <c r="F13" s="191"/>
      <c r="G13" s="191"/>
    </row>
    <row r="14" spans="1:7" ht="3.95" customHeight="1">
      <c r="A14" s="191"/>
      <c r="B14" s="191"/>
      <c r="C14" s="191"/>
      <c r="D14" s="191"/>
      <c r="E14" s="191"/>
      <c r="F14" s="191"/>
      <c r="G14" s="191"/>
    </row>
    <row r="15" spans="1:7" ht="12" customHeight="1">
      <c r="A15" s="192" t="s">
        <v>404</v>
      </c>
      <c r="B15" s="192"/>
      <c r="C15" s="192"/>
      <c r="D15" s="192"/>
      <c r="E15" s="192"/>
      <c r="F15" s="192"/>
      <c r="G15" s="192"/>
    </row>
    <row r="16" spans="1:7" ht="12" customHeight="1">
      <c r="A16" s="193" t="s">
        <v>273</v>
      </c>
      <c r="B16" s="194"/>
      <c r="C16" s="194"/>
      <c r="D16" s="194"/>
      <c r="E16" s="194"/>
      <c r="F16" s="194"/>
      <c r="G16" s="194"/>
    </row>
    <row r="17" spans="1:9" ht="31.5">
      <c r="A17" s="85" t="s">
        <v>274</v>
      </c>
      <c r="B17" s="86" t="s">
        <v>275</v>
      </c>
      <c r="C17" s="86" t="s">
        <v>276</v>
      </c>
      <c r="D17" s="86" t="s">
        <v>277</v>
      </c>
      <c r="E17" s="86" t="s">
        <v>278</v>
      </c>
      <c r="F17" s="87" t="s">
        <v>311</v>
      </c>
      <c r="G17" s="87" t="s">
        <v>279</v>
      </c>
    </row>
    <row r="18" spans="1:9">
      <c r="A18" s="88" t="s">
        <v>298</v>
      </c>
      <c r="B18" s="89" t="s">
        <v>283</v>
      </c>
      <c r="C18" s="90" t="s">
        <v>291</v>
      </c>
      <c r="D18" s="91" t="s">
        <v>280</v>
      </c>
      <c r="E18" s="110">
        <f>0.007*(3.58*2.48)</f>
        <v>6.2148800000000011E-2</v>
      </c>
      <c r="F18" s="92">
        <v>8.92</v>
      </c>
      <c r="G18" s="93">
        <f>ROUNDDOWN(E18*F18,2)</f>
        <v>0.55000000000000004</v>
      </c>
      <c r="I18" s="113"/>
    </row>
    <row r="19" spans="1:9">
      <c r="A19" s="88" t="s">
        <v>299</v>
      </c>
      <c r="B19" s="89" t="s">
        <v>283</v>
      </c>
      <c r="C19" s="90" t="s">
        <v>292</v>
      </c>
      <c r="D19" s="91" t="s">
        <v>280</v>
      </c>
      <c r="E19" s="110">
        <f>0.158*(3.58*2.48)</f>
        <v>1.4027872000000001</v>
      </c>
      <c r="F19" s="92">
        <v>10.86</v>
      </c>
      <c r="G19" s="93">
        <f>ROUNDDOWN(E19*F19,2)</f>
        <v>15.23</v>
      </c>
      <c r="I19" s="113"/>
    </row>
    <row r="20" spans="1:9">
      <c r="A20" s="88" t="s">
        <v>300</v>
      </c>
      <c r="B20" s="89" t="s">
        <v>283</v>
      </c>
      <c r="C20" s="90" t="s">
        <v>293</v>
      </c>
      <c r="D20" s="91" t="s">
        <v>280</v>
      </c>
      <c r="E20" s="110">
        <f>0.158*(3.58*2.48)</f>
        <v>1.4027872000000001</v>
      </c>
      <c r="F20" s="92">
        <v>8.92</v>
      </c>
      <c r="G20" s="93">
        <f>ROUNDDOWN(E20*F20,2)</f>
        <v>12.51</v>
      </c>
      <c r="I20" s="113"/>
    </row>
    <row r="21" spans="1:9">
      <c r="A21" s="88" t="s">
        <v>319</v>
      </c>
      <c r="B21" s="89" t="s">
        <v>283</v>
      </c>
      <c r="C21" s="90" t="s">
        <v>317</v>
      </c>
      <c r="D21" s="91" t="s">
        <v>280</v>
      </c>
      <c r="E21" s="110">
        <f>0.4*(3.58*2.48)</f>
        <v>3.5513600000000007</v>
      </c>
      <c r="F21" s="92">
        <v>10.86</v>
      </c>
      <c r="G21" s="93">
        <f>ROUNDUP(E21*F21,2)</f>
        <v>38.57</v>
      </c>
      <c r="I21" s="113"/>
    </row>
    <row r="22" spans="1:9">
      <c r="A22" s="88" t="s">
        <v>320</v>
      </c>
      <c r="B22" s="89" t="s">
        <v>283</v>
      </c>
      <c r="C22" s="90" t="s">
        <v>318</v>
      </c>
      <c r="D22" s="91" t="s">
        <v>280</v>
      </c>
      <c r="E22" s="110">
        <f>0.4*(3.58*2.48)</f>
        <v>3.5513600000000007</v>
      </c>
      <c r="F22" s="92">
        <v>8.92</v>
      </c>
      <c r="G22" s="93">
        <f>ROUNDUP(E22*F22,2)</f>
        <v>31.680000000000003</v>
      </c>
      <c r="I22" s="113"/>
    </row>
    <row r="23" spans="1:9">
      <c r="A23" s="88" t="s">
        <v>301</v>
      </c>
      <c r="B23" s="89" t="s">
        <v>283</v>
      </c>
      <c r="C23" s="90" t="s">
        <v>294</v>
      </c>
      <c r="D23" s="91" t="s">
        <v>280</v>
      </c>
      <c r="E23" s="110">
        <f>0.024*(3.58*2.48)</f>
        <v>0.21308160000000004</v>
      </c>
      <c r="F23" s="92">
        <v>10.86</v>
      </c>
      <c r="G23" s="93">
        <f>ROUNDDOWN(E23*F23,2)</f>
        <v>2.31</v>
      </c>
      <c r="I23" s="113"/>
    </row>
    <row r="24" spans="1:9">
      <c r="A24" s="88" t="s">
        <v>304</v>
      </c>
      <c r="B24" s="89" t="s">
        <v>283</v>
      </c>
      <c r="C24" s="90" t="s">
        <v>297</v>
      </c>
      <c r="D24" s="91" t="s">
        <v>280</v>
      </c>
      <c r="E24" s="110">
        <f>0.415*(3.58*2.48)</f>
        <v>3.684536</v>
      </c>
      <c r="F24" s="92">
        <v>8.92</v>
      </c>
      <c r="G24" s="93">
        <f>ROUNDUP(E24*F24,2)</f>
        <v>32.869999999999997</v>
      </c>
      <c r="I24" s="113"/>
    </row>
    <row r="25" spans="1:9">
      <c r="A25" s="195" t="s">
        <v>281</v>
      </c>
      <c r="B25" s="196"/>
      <c r="C25" s="196"/>
      <c r="D25" s="196"/>
      <c r="E25" s="196"/>
      <c r="F25" s="196"/>
      <c r="G25" s="94">
        <f>SUM(G18:G24)</f>
        <v>133.72</v>
      </c>
    </row>
    <row r="26" spans="1:9" ht="5.0999999999999996" customHeight="1">
      <c r="A26" s="95"/>
      <c r="B26" s="96"/>
      <c r="C26" s="96"/>
      <c r="D26" s="97"/>
      <c r="E26" s="97"/>
      <c r="F26" s="96"/>
      <c r="G26" s="98"/>
    </row>
    <row r="27" spans="1:9">
      <c r="A27" s="193" t="s">
        <v>282</v>
      </c>
      <c r="B27" s="194"/>
      <c r="C27" s="194"/>
      <c r="D27" s="194"/>
      <c r="E27" s="194"/>
      <c r="F27" s="194"/>
      <c r="G27" s="197"/>
    </row>
    <row r="28" spans="1:9" ht="31.5" customHeight="1">
      <c r="A28" s="86" t="s">
        <v>310</v>
      </c>
      <c r="B28" s="86" t="s">
        <v>313</v>
      </c>
      <c r="C28" s="161" t="s">
        <v>232</v>
      </c>
      <c r="D28" s="162"/>
      <c r="E28" s="169" t="s">
        <v>312</v>
      </c>
      <c r="F28" s="170"/>
      <c r="G28" s="171"/>
    </row>
    <row r="29" spans="1:9" ht="48.75" customHeight="1">
      <c r="A29" s="111" t="s">
        <v>390</v>
      </c>
      <c r="B29" s="112" t="s">
        <v>391</v>
      </c>
      <c r="C29" s="163" t="s">
        <v>306</v>
      </c>
      <c r="D29" s="164"/>
      <c r="E29" s="172">
        <v>4350</v>
      </c>
      <c r="F29" s="173"/>
      <c r="G29" s="174"/>
      <c r="I29" s="99"/>
    </row>
    <row r="30" spans="1:9" ht="30">
      <c r="A30" s="111" t="s">
        <v>408</v>
      </c>
      <c r="B30" s="112" t="s">
        <v>409</v>
      </c>
      <c r="C30" s="165"/>
      <c r="D30" s="166"/>
      <c r="E30" s="172">
        <v>5800</v>
      </c>
      <c r="F30" s="173"/>
      <c r="G30" s="174"/>
      <c r="I30" s="99"/>
    </row>
    <row r="31" spans="1:9" ht="30">
      <c r="A31" s="111" t="s">
        <v>315</v>
      </c>
      <c r="B31" s="112" t="s">
        <v>316</v>
      </c>
      <c r="C31" s="167"/>
      <c r="D31" s="168"/>
      <c r="E31" s="172">
        <v>5219.6499999999996</v>
      </c>
      <c r="F31" s="173"/>
      <c r="G31" s="174"/>
      <c r="I31" s="99"/>
    </row>
    <row r="32" spans="1:9" ht="39" customHeight="1">
      <c r="A32" s="190" t="s">
        <v>314</v>
      </c>
      <c r="B32" s="190"/>
      <c r="C32" s="190"/>
      <c r="D32" s="190"/>
      <c r="E32" s="189">
        <f>ROUNDUP(AVERAGE(E29:G31),2)</f>
        <v>5123.22</v>
      </c>
      <c r="F32" s="189"/>
      <c r="G32" s="189"/>
    </row>
    <row r="33" spans="1:8" ht="12.95" customHeight="1">
      <c r="A33" s="210" t="s">
        <v>324</v>
      </c>
      <c r="B33" s="210"/>
      <c r="C33" s="210"/>
      <c r="D33" s="200" t="s">
        <v>284</v>
      </c>
      <c r="E33" s="201"/>
      <c r="F33" s="202"/>
      <c r="G33" s="100">
        <f>G25</f>
        <v>133.72</v>
      </c>
    </row>
    <row r="34" spans="1:8" ht="12.95" customHeight="1">
      <c r="A34" s="210"/>
      <c r="B34" s="210"/>
      <c r="C34" s="210"/>
      <c r="D34" s="203" t="s">
        <v>305</v>
      </c>
      <c r="E34" s="204"/>
      <c r="F34" s="205"/>
      <c r="G34" s="101">
        <v>0.9778</v>
      </c>
      <c r="H34" s="102"/>
    </row>
    <row r="35" spans="1:8" ht="12.95" customHeight="1">
      <c r="A35" s="210"/>
      <c r="B35" s="210"/>
      <c r="C35" s="210"/>
      <c r="D35" s="206" t="s">
        <v>285</v>
      </c>
      <c r="E35" s="207"/>
      <c r="F35" s="208"/>
      <c r="G35" s="92">
        <f>ROUNDDOWN((G33+G33*G34),2)</f>
        <v>264.47000000000003</v>
      </c>
    </row>
    <row r="36" spans="1:8" ht="12.95" customHeight="1">
      <c r="A36" s="210"/>
      <c r="B36" s="210"/>
      <c r="C36" s="210"/>
      <c r="D36" s="206" t="s">
        <v>286</v>
      </c>
      <c r="E36" s="207"/>
      <c r="F36" s="208"/>
      <c r="G36" s="100">
        <f>E32</f>
        <v>5123.22</v>
      </c>
    </row>
    <row r="37" spans="1:8" ht="12.95" customHeight="1">
      <c r="A37" s="210"/>
      <c r="B37" s="210"/>
      <c r="C37" s="210"/>
      <c r="D37" s="195" t="s">
        <v>413</v>
      </c>
      <c r="E37" s="196"/>
      <c r="F37" s="209"/>
      <c r="G37" s="103">
        <f>G35+G36</f>
        <v>5387.6900000000005</v>
      </c>
    </row>
    <row r="38" spans="1:8" s="104" customFormat="1">
      <c r="C38" s="105"/>
      <c r="D38" s="106"/>
      <c r="E38" s="106"/>
      <c r="F38" s="106"/>
      <c r="G38" s="107"/>
    </row>
    <row r="39" spans="1:8" s="104" customFormat="1">
      <c r="C39" s="105"/>
      <c r="D39" s="106"/>
      <c r="E39" s="106"/>
      <c r="F39" s="106"/>
      <c r="G39" s="107"/>
    </row>
    <row r="40" spans="1:8">
      <c r="A40" s="198" t="s">
        <v>411</v>
      </c>
      <c r="B40" s="198"/>
      <c r="C40" s="198"/>
      <c r="D40" s="198"/>
      <c r="E40" s="198"/>
      <c r="F40" s="198"/>
      <c r="G40" s="198"/>
    </row>
    <row r="42" spans="1:8">
      <c r="A42" s="198" t="s">
        <v>287</v>
      </c>
      <c r="B42" s="198"/>
      <c r="C42" s="198"/>
      <c r="D42" s="198"/>
      <c r="E42" s="198"/>
      <c r="F42" s="198"/>
      <c r="G42" s="198"/>
    </row>
    <row r="43" spans="1:8">
      <c r="A43" s="199" t="s">
        <v>398</v>
      </c>
      <c r="B43" s="198"/>
      <c r="C43" s="198"/>
      <c r="D43" s="198"/>
      <c r="E43" s="198"/>
      <c r="F43" s="198"/>
      <c r="G43" s="198"/>
    </row>
    <row r="44" spans="1:8">
      <c r="A44" s="198" t="s">
        <v>399</v>
      </c>
      <c r="B44" s="198"/>
      <c r="C44" s="198"/>
      <c r="D44" s="198"/>
      <c r="E44" s="198"/>
      <c r="F44" s="198"/>
      <c r="G44" s="198"/>
    </row>
  </sheetData>
  <mergeCells count="35">
    <mergeCell ref="A42:G42"/>
    <mergeCell ref="A43:G43"/>
    <mergeCell ref="A44:G44"/>
    <mergeCell ref="D33:F33"/>
    <mergeCell ref="D34:F34"/>
    <mergeCell ref="D35:F35"/>
    <mergeCell ref="D36:F36"/>
    <mergeCell ref="D37:F37"/>
    <mergeCell ref="A40:G40"/>
    <mergeCell ref="A33:C37"/>
    <mergeCell ref="E32:G32"/>
    <mergeCell ref="A32:D32"/>
    <mergeCell ref="A12:G14"/>
    <mergeCell ref="A15:G15"/>
    <mergeCell ref="A16:G16"/>
    <mergeCell ref="A25:F25"/>
    <mergeCell ref="A27:G27"/>
    <mergeCell ref="A1:G1"/>
    <mergeCell ref="A2:G2"/>
    <mergeCell ref="A3:G3"/>
    <mergeCell ref="A4:G4"/>
    <mergeCell ref="A5:G5"/>
    <mergeCell ref="A6:G6"/>
    <mergeCell ref="C28:D28"/>
    <mergeCell ref="C29:D31"/>
    <mergeCell ref="E28:G28"/>
    <mergeCell ref="E29:G29"/>
    <mergeCell ref="E30:G30"/>
    <mergeCell ref="E31:G31"/>
    <mergeCell ref="A7:G7"/>
    <mergeCell ref="A8:G8"/>
    <mergeCell ref="A9:C9"/>
    <mergeCell ref="D9:G9"/>
    <mergeCell ref="A10:G10"/>
    <mergeCell ref="A11:D11"/>
  </mergeCells>
  <printOptions horizontalCentered="1" verticalCentered="1"/>
  <pageMargins left="0.31496062992125984" right="0.31496062992125984" top="0" bottom="0" header="0.31496062992125984" footer="0.31496062992125984"/>
  <pageSetup paperSize="9" scale="8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showGridLines="0" workbookViewId="0">
      <selection activeCell="A7" sqref="A7:G7"/>
    </sheetView>
  </sheetViews>
  <sheetFormatPr defaultRowHeight="15.75"/>
  <cols>
    <col min="1" max="1" width="35.5703125" style="82" customWidth="1"/>
    <col min="2" max="2" width="21.85546875" style="82" customWidth="1"/>
    <col min="3" max="3" width="36.5703125" style="82" customWidth="1"/>
    <col min="4" max="5" width="15.7109375" style="108" customWidth="1"/>
    <col min="6" max="6" width="18" style="82" customWidth="1"/>
    <col min="7" max="7" width="14.7109375" style="109" customWidth="1"/>
    <col min="8" max="8" width="9.5703125" style="82" bestFit="1" customWidth="1"/>
    <col min="9" max="9" width="12.7109375" style="82" bestFit="1" customWidth="1"/>
    <col min="10" max="255" width="9.140625" style="82"/>
    <col min="256" max="256" width="16.85546875" style="82" customWidth="1"/>
    <col min="257" max="257" width="12.28515625" style="82" customWidth="1"/>
    <col min="258" max="258" width="42.5703125" style="82" customWidth="1"/>
    <col min="259" max="259" width="19.5703125" style="82" customWidth="1"/>
    <col min="260" max="260" width="13" style="82" bestFit="1" customWidth="1"/>
    <col min="261" max="261" width="16.28515625" style="82" customWidth="1"/>
    <col min="262" max="262" width="14.7109375" style="82" customWidth="1"/>
    <col min="263" max="511" width="9.140625" style="82"/>
    <col min="512" max="512" width="16.85546875" style="82" customWidth="1"/>
    <col min="513" max="513" width="12.28515625" style="82" customWidth="1"/>
    <col min="514" max="514" width="42.5703125" style="82" customWidth="1"/>
    <col min="515" max="515" width="19.5703125" style="82" customWidth="1"/>
    <col min="516" max="516" width="13" style="82" bestFit="1" customWidth="1"/>
    <col min="517" max="517" width="16.28515625" style="82" customWidth="1"/>
    <col min="518" max="518" width="14.7109375" style="82" customWidth="1"/>
    <col min="519" max="767" width="9.140625" style="82"/>
    <col min="768" max="768" width="16.85546875" style="82" customWidth="1"/>
    <col min="769" max="769" width="12.28515625" style="82" customWidth="1"/>
    <col min="770" max="770" width="42.5703125" style="82" customWidth="1"/>
    <col min="771" max="771" width="19.5703125" style="82" customWidth="1"/>
    <col min="772" max="772" width="13" style="82" bestFit="1" customWidth="1"/>
    <col min="773" max="773" width="16.28515625" style="82" customWidth="1"/>
    <col min="774" max="774" width="14.7109375" style="82" customWidth="1"/>
    <col min="775" max="1023" width="9.140625" style="82"/>
    <col min="1024" max="1024" width="16.85546875" style="82" customWidth="1"/>
    <col min="1025" max="1025" width="12.28515625" style="82" customWidth="1"/>
    <col min="1026" max="1026" width="42.5703125" style="82" customWidth="1"/>
    <col min="1027" max="1027" width="19.5703125" style="82" customWidth="1"/>
    <col min="1028" max="1028" width="13" style="82" bestFit="1" customWidth="1"/>
    <col min="1029" max="1029" width="16.28515625" style="82" customWidth="1"/>
    <col min="1030" max="1030" width="14.7109375" style="82" customWidth="1"/>
    <col min="1031" max="1279" width="9.140625" style="82"/>
    <col min="1280" max="1280" width="16.85546875" style="82" customWidth="1"/>
    <col min="1281" max="1281" width="12.28515625" style="82" customWidth="1"/>
    <col min="1282" max="1282" width="42.5703125" style="82" customWidth="1"/>
    <col min="1283" max="1283" width="19.5703125" style="82" customWidth="1"/>
    <col min="1284" max="1284" width="13" style="82" bestFit="1" customWidth="1"/>
    <col min="1285" max="1285" width="16.28515625" style="82" customWidth="1"/>
    <col min="1286" max="1286" width="14.7109375" style="82" customWidth="1"/>
    <col min="1287" max="1535" width="9.140625" style="82"/>
    <col min="1536" max="1536" width="16.85546875" style="82" customWidth="1"/>
    <col min="1537" max="1537" width="12.28515625" style="82" customWidth="1"/>
    <col min="1538" max="1538" width="42.5703125" style="82" customWidth="1"/>
    <col min="1539" max="1539" width="19.5703125" style="82" customWidth="1"/>
    <col min="1540" max="1540" width="13" style="82" bestFit="1" customWidth="1"/>
    <col min="1541" max="1541" width="16.28515625" style="82" customWidth="1"/>
    <col min="1542" max="1542" width="14.7109375" style="82" customWidth="1"/>
    <col min="1543" max="1791" width="9.140625" style="82"/>
    <col min="1792" max="1792" width="16.85546875" style="82" customWidth="1"/>
    <col min="1793" max="1793" width="12.28515625" style="82" customWidth="1"/>
    <col min="1794" max="1794" width="42.5703125" style="82" customWidth="1"/>
    <col min="1795" max="1795" width="19.5703125" style="82" customWidth="1"/>
    <col min="1796" max="1796" width="13" style="82" bestFit="1" customWidth="1"/>
    <col min="1797" max="1797" width="16.28515625" style="82" customWidth="1"/>
    <col min="1798" max="1798" width="14.7109375" style="82" customWidth="1"/>
    <col min="1799" max="2047" width="9.140625" style="82"/>
    <col min="2048" max="2048" width="16.85546875" style="82" customWidth="1"/>
    <col min="2049" max="2049" width="12.28515625" style="82" customWidth="1"/>
    <col min="2050" max="2050" width="42.5703125" style="82" customWidth="1"/>
    <col min="2051" max="2051" width="19.5703125" style="82" customWidth="1"/>
    <col min="2052" max="2052" width="13" style="82" bestFit="1" customWidth="1"/>
    <col min="2053" max="2053" width="16.28515625" style="82" customWidth="1"/>
    <col min="2054" max="2054" width="14.7109375" style="82" customWidth="1"/>
    <col min="2055" max="2303" width="9.140625" style="82"/>
    <col min="2304" max="2304" width="16.85546875" style="82" customWidth="1"/>
    <col min="2305" max="2305" width="12.28515625" style="82" customWidth="1"/>
    <col min="2306" max="2306" width="42.5703125" style="82" customWidth="1"/>
    <col min="2307" max="2307" width="19.5703125" style="82" customWidth="1"/>
    <col min="2308" max="2308" width="13" style="82" bestFit="1" customWidth="1"/>
    <col min="2309" max="2309" width="16.28515625" style="82" customWidth="1"/>
    <col min="2310" max="2310" width="14.7109375" style="82" customWidth="1"/>
    <col min="2311" max="2559" width="9.140625" style="82"/>
    <col min="2560" max="2560" width="16.85546875" style="82" customWidth="1"/>
    <col min="2561" max="2561" width="12.28515625" style="82" customWidth="1"/>
    <col min="2562" max="2562" width="42.5703125" style="82" customWidth="1"/>
    <col min="2563" max="2563" width="19.5703125" style="82" customWidth="1"/>
    <col min="2564" max="2564" width="13" style="82" bestFit="1" customWidth="1"/>
    <col min="2565" max="2565" width="16.28515625" style="82" customWidth="1"/>
    <col min="2566" max="2566" width="14.7109375" style="82" customWidth="1"/>
    <col min="2567" max="2815" width="9.140625" style="82"/>
    <col min="2816" max="2816" width="16.85546875" style="82" customWidth="1"/>
    <col min="2817" max="2817" width="12.28515625" style="82" customWidth="1"/>
    <col min="2818" max="2818" width="42.5703125" style="82" customWidth="1"/>
    <col min="2819" max="2819" width="19.5703125" style="82" customWidth="1"/>
    <col min="2820" max="2820" width="13" style="82" bestFit="1" customWidth="1"/>
    <col min="2821" max="2821" width="16.28515625" style="82" customWidth="1"/>
    <col min="2822" max="2822" width="14.7109375" style="82" customWidth="1"/>
    <col min="2823" max="3071" width="9.140625" style="82"/>
    <col min="3072" max="3072" width="16.85546875" style="82" customWidth="1"/>
    <col min="3073" max="3073" width="12.28515625" style="82" customWidth="1"/>
    <col min="3074" max="3074" width="42.5703125" style="82" customWidth="1"/>
    <col min="3075" max="3075" width="19.5703125" style="82" customWidth="1"/>
    <col min="3076" max="3076" width="13" style="82" bestFit="1" customWidth="1"/>
    <col min="3077" max="3077" width="16.28515625" style="82" customWidth="1"/>
    <col min="3078" max="3078" width="14.7109375" style="82" customWidth="1"/>
    <col min="3079" max="3327" width="9.140625" style="82"/>
    <col min="3328" max="3328" width="16.85546875" style="82" customWidth="1"/>
    <col min="3329" max="3329" width="12.28515625" style="82" customWidth="1"/>
    <col min="3330" max="3330" width="42.5703125" style="82" customWidth="1"/>
    <col min="3331" max="3331" width="19.5703125" style="82" customWidth="1"/>
    <col min="3332" max="3332" width="13" style="82" bestFit="1" customWidth="1"/>
    <col min="3333" max="3333" width="16.28515625" style="82" customWidth="1"/>
    <col min="3334" max="3334" width="14.7109375" style="82" customWidth="1"/>
    <col min="3335" max="3583" width="9.140625" style="82"/>
    <col min="3584" max="3584" width="16.85546875" style="82" customWidth="1"/>
    <col min="3585" max="3585" width="12.28515625" style="82" customWidth="1"/>
    <col min="3586" max="3586" width="42.5703125" style="82" customWidth="1"/>
    <col min="3587" max="3587" width="19.5703125" style="82" customWidth="1"/>
    <col min="3588" max="3588" width="13" style="82" bestFit="1" customWidth="1"/>
    <col min="3589" max="3589" width="16.28515625" style="82" customWidth="1"/>
    <col min="3590" max="3590" width="14.7109375" style="82" customWidth="1"/>
    <col min="3591" max="3839" width="9.140625" style="82"/>
    <col min="3840" max="3840" width="16.85546875" style="82" customWidth="1"/>
    <col min="3841" max="3841" width="12.28515625" style="82" customWidth="1"/>
    <col min="3842" max="3842" width="42.5703125" style="82" customWidth="1"/>
    <col min="3843" max="3843" width="19.5703125" style="82" customWidth="1"/>
    <col min="3844" max="3844" width="13" style="82" bestFit="1" customWidth="1"/>
    <col min="3845" max="3845" width="16.28515625" style="82" customWidth="1"/>
    <col min="3846" max="3846" width="14.7109375" style="82" customWidth="1"/>
    <col min="3847" max="4095" width="9.140625" style="82"/>
    <col min="4096" max="4096" width="16.85546875" style="82" customWidth="1"/>
    <col min="4097" max="4097" width="12.28515625" style="82" customWidth="1"/>
    <col min="4098" max="4098" width="42.5703125" style="82" customWidth="1"/>
    <col min="4099" max="4099" width="19.5703125" style="82" customWidth="1"/>
    <col min="4100" max="4100" width="13" style="82" bestFit="1" customWidth="1"/>
    <col min="4101" max="4101" width="16.28515625" style="82" customWidth="1"/>
    <col min="4102" max="4102" width="14.7109375" style="82" customWidth="1"/>
    <col min="4103" max="4351" width="9.140625" style="82"/>
    <col min="4352" max="4352" width="16.85546875" style="82" customWidth="1"/>
    <col min="4353" max="4353" width="12.28515625" style="82" customWidth="1"/>
    <col min="4354" max="4354" width="42.5703125" style="82" customWidth="1"/>
    <col min="4355" max="4355" width="19.5703125" style="82" customWidth="1"/>
    <col min="4356" max="4356" width="13" style="82" bestFit="1" customWidth="1"/>
    <col min="4357" max="4357" width="16.28515625" style="82" customWidth="1"/>
    <col min="4358" max="4358" width="14.7109375" style="82" customWidth="1"/>
    <col min="4359" max="4607" width="9.140625" style="82"/>
    <col min="4608" max="4608" width="16.85546875" style="82" customWidth="1"/>
    <col min="4609" max="4609" width="12.28515625" style="82" customWidth="1"/>
    <col min="4610" max="4610" width="42.5703125" style="82" customWidth="1"/>
    <col min="4611" max="4611" width="19.5703125" style="82" customWidth="1"/>
    <col min="4612" max="4612" width="13" style="82" bestFit="1" customWidth="1"/>
    <col min="4613" max="4613" width="16.28515625" style="82" customWidth="1"/>
    <col min="4614" max="4614" width="14.7109375" style="82" customWidth="1"/>
    <col min="4615" max="4863" width="9.140625" style="82"/>
    <col min="4864" max="4864" width="16.85546875" style="82" customWidth="1"/>
    <col min="4865" max="4865" width="12.28515625" style="82" customWidth="1"/>
    <col min="4866" max="4866" width="42.5703125" style="82" customWidth="1"/>
    <col min="4867" max="4867" width="19.5703125" style="82" customWidth="1"/>
    <col min="4868" max="4868" width="13" style="82" bestFit="1" customWidth="1"/>
    <col min="4869" max="4869" width="16.28515625" style="82" customWidth="1"/>
    <col min="4870" max="4870" width="14.7109375" style="82" customWidth="1"/>
    <col min="4871" max="5119" width="9.140625" style="82"/>
    <col min="5120" max="5120" width="16.85546875" style="82" customWidth="1"/>
    <col min="5121" max="5121" width="12.28515625" style="82" customWidth="1"/>
    <col min="5122" max="5122" width="42.5703125" style="82" customWidth="1"/>
    <col min="5123" max="5123" width="19.5703125" style="82" customWidth="1"/>
    <col min="5124" max="5124" width="13" style="82" bestFit="1" customWidth="1"/>
    <col min="5125" max="5125" width="16.28515625" style="82" customWidth="1"/>
    <col min="5126" max="5126" width="14.7109375" style="82" customWidth="1"/>
    <col min="5127" max="5375" width="9.140625" style="82"/>
    <col min="5376" max="5376" width="16.85546875" style="82" customWidth="1"/>
    <col min="5377" max="5377" width="12.28515625" style="82" customWidth="1"/>
    <col min="5378" max="5378" width="42.5703125" style="82" customWidth="1"/>
    <col min="5379" max="5379" width="19.5703125" style="82" customWidth="1"/>
    <col min="5380" max="5380" width="13" style="82" bestFit="1" customWidth="1"/>
    <col min="5381" max="5381" width="16.28515625" style="82" customWidth="1"/>
    <col min="5382" max="5382" width="14.7109375" style="82" customWidth="1"/>
    <col min="5383" max="5631" width="9.140625" style="82"/>
    <col min="5632" max="5632" width="16.85546875" style="82" customWidth="1"/>
    <col min="5633" max="5633" width="12.28515625" style="82" customWidth="1"/>
    <col min="5634" max="5634" width="42.5703125" style="82" customWidth="1"/>
    <col min="5635" max="5635" width="19.5703125" style="82" customWidth="1"/>
    <col min="5636" max="5636" width="13" style="82" bestFit="1" customWidth="1"/>
    <col min="5637" max="5637" width="16.28515625" style="82" customWidth="1"/>
    <col min="5638" max="5638" width="14.7109375" style="82" customWidth="1"/>
    <col min="5639" max="5887" width="9.140625" style="82"/>
    <col min="5888" max="5888" width="16.85546875" style="82" customWidth="1"/>
    <col min="5889" max="5889" width="12.28515625" style="82" customWidth="1"/>
    <col min="5890" max="5890" width="42.5703125" style="82" customWidth="1"/>
    <col min="5891" max="5891" width="19.5703125" style="82" customWidth="1"/>
    <col min="5892" max="5892" width="13" style="82" bestFit="1" customWidth="1"/>
    <col min="5893" max="5893" width="16.28515625" style="82" customWidth="1"/>
    <col min="5894" max="5894" width="14.7109375" style="82" customWidth="1"/>
    <col min="5895" max="6143" width="9.140625" style="82"/>
    <col min="6144" max="6144" width="16.85546875" style="82" customWidth="1"/>
    <col min="6145" max="6145" width="12.28515625" style="82" customWidth="1"/>
    <col min="6146" max="6146" width="42.5703125" style="82" customWidth="1"/>
    <col min="6147" max="6147" width="19.5703125" style="82" customWidth="1"/>
    <col min="6148" max="6148" width="13" style="82" bestFit="1" customWidth="1"/>
    <col min="6149" max="6149" width="16.28515625" style="82" customWidth="1"/>
    <col min="6150" max="6150" width="14.7109375" style="82" customWidth="1"/>
    <col min="6151" max="6399" width="9.140625" style="82"/>
    <col min="6400" max="6400" width="16.85546875" style="82" customWidth="1"/>
    <col min="6401" max="6401" width="12.28515625" style="82" customWidth="1"/>
    <col min="6402" max="6402" width="42.5703125" style="82" customWidth="1"/>
    <col min="6403" max="6403" width="19.5703125" style="82" customWidth="1"/>
    <col min="6404" max="6404" width="13" style="82" bestFit="1" customWidth="1"/>
    <col min="6405" max="6405" width="16.28515625" style="82" customWidth="1"/>
    <col min="6406" max="6406" width="14.7109375" style="82" customWidth="1"/>
    <col min="6407" max="6655" width="9.140625" style="82"/>
    <col min="6656" max="6656" width="16.85546875" style="82" customWidth="1"/>
    <col min="6657" max="6657" width="12.28515625" style="82" customWidth="1"/>
    <col min="6658" max="6658" width="42.5703125" style="82" customWidth="1"/>
    <col min="6659" max="6659" width="19.5703125" style="82" customWidth="1"/>
    <col min="6660" max="6660" width="13" style="82" bestFit="1" customWidth="1"/>
    <col min="6661" max="6661" width="16.28515625" style="82" customWidth="1"/>
    <col min="6662" max="6662" width="14.7109375" style="82" customWidth="1"/>
    <col min="6663" max="6911" width="9.140625" style="82"/>
    <col min="6912" max="6912" width="16.85546875" style="82" customWidth="1"/>
    <col min="6913" max="6913" width="12.28515625" style="82" customWidth="1"/>
    <col min="6914" max="6914" width="42.5703125" style="82" customWidth="1"/>
    <col min="6915" max="6915" width="19.5703125" style="82" customWidth="1"/>
    <col min="6916" max="6916" width="13" style="82" bestFit="1" customWidth="1"/>
    <col min="6917" max="6917" width="16.28515625" style="82" customWidth="1"/>
    <col min="6918" max="6918" width="14.7109375" style="82" customWidth="1"/>
    <col min="6919" max="7167" width="9.140625" style="82"/>
    <col min="7168" max="7168" width="16.85546875" style="82" customWidth="1"/>
    <col min="7169" max="7169" width="12.28515625" style="82" customWidth="1"/>
    <col min="7170" max="7170" width="42.5703125" style="82" customWidth="1"/>
    <col min="7171" max="7171" width="19.5703125" style="82" customWidth="1"/>
    <col min="7172" max="7172" width="13" style="82" bestFit="1" customWidth="1"/>
    <col min="7173" max="7173" width="16.28515625" style="82" customWidth="1"/>
    <col min="7174" max="7174" width="14.7109375" style="82" customWidth="1"/>
    <col min="7175" max="7423" width="9.140625" style="82"/>
    <col min="7424" max="7424" width="16.85546875" style="82" customWidth="1"/>
    <col min="7425" max="7425" width="12.28515625" style="82" customWidth="1"/>
    <col min="7426" max="7426" width="42.5703125" style="82" customWidth="1"/>
    <col min="7427" max="7427" width="19.5703125" style="82" customWidth="1"/>
    <col min="7428" max="7428" width="13" style="82" bestFit="1" customWidth="1"/>
    <col min="7429" max="7429" width="16.28515625" style="82" customWidth="1"/>
    <col min="7430" max="7430" width="14.7109375" style="82" customWidth="1"/>
    <col min="7431" max="7679" width="9.140625" style="82"/>
    <col min="7680" max="7680" width="16.85546875" style="82" customWidth="1"/>
    <col min="7681" max="7681" width="12.28515625" style="82" customWidth="1"/>
    <col min="7682" max="7682" width="42.5703125" style="82" customWidth="1"/>
    <col min="7683" max="7683" width="19.5703125" style="82" customWidth="1"/>
    <col min="7684" max="7684" width="13" style="82" bestFit="1" customWidth="1"/>
    <col min="7685" max="7685" width="16.28515625" style="82" customWidth="1"/>
    <col min="7686" max="7686" width="14.7109375" style="82" customWidth="1"/>
    <col min="7687" max="7935" width="9.140625" style="82"/>
    <col min="7936" max="7936" width="16.85546875" style="82" customWidth="1"/>
    <col min="7937" max="7937" width="12.28515625" style="82" customWidth="1"/>
    <col min="7938" max="7938" width="42.5703125" style="82" customWidth="1"/>
    <col min="7939" max="7939" width="19.5703125" style="82" customWidth="1"/>
    <col min="7940" max="7940" width="13" style="82" bestFit="1" customWidth="1"/>
    <col min="7941" max="7941" width="16.28515625" style="82" customWidth="1"/>
    <col min="7942" max="7942" width="14.7109375" style="82" customWidth="1"/>
    <col min="7943" max="8191" width="9.140625" style="82"/>
    <col min="8192" max="8192" width="16.85546875" style="82" customWidth="1"/>
    <col min="8193" max="8193" width="12.28515625" style="82" customWidth="1"/>
    <col min="8194" max="8194" width="42.5703125" style="82" customWidth="1"/>
    <col min="8195" max="8195" width="19.5703125" style="82" customWidth="1"/>
    <col min="8196" max="8196" width="13" style="82" bestFit="1" customWidth="1"/>
    <col min="8197" max="8197" width="16.28515625" style="82" customWidth="1"/>
    <col min="8198" max="8198" width="14.7109375" style="82" customWidth="1"/>
    <col min="8199" max="8447" width="9.140625" style="82"/>
    <col min="8448" max="8448" width="16.85546875" style="82" customWidth="1"/>
    <col min="8449" max="8449" width="12.28515625" style="82" customWidth="1"/>
    <col min="8450" max="8450" width="42.5703125" style="82" customWidth="1"/>
    <col min="8451" max="8451" width="19.5703125" style="82" customWidth="1"/>
    <col min="8452" max="8452" width="13" style="82" bestFit="1" customWidth="1"/>
    <col min="8453" max="8453" width="16.28515625" style="82" customWidth="1"/>
    <col min="8454" max="8454" width="14.7109375" style="82" customWidth="1"/>
    <col min="8455" max="8703" width="9.140625" style="82"/>
    <col min="8704" max="8704" width="16.85546875" style="82" customWidth="1"/>
    <col min="8705" max="8705" width="12.28515625" style="82" customWidth="1"/>
    <col min="8706" max="8706" width="42.5703125" style="82" customWidth="1"/>
    <col min="8707" max="8707" width="19.5703125" style="82" customWidth="1"/>
    <col min="8708" max="8708" width="13" style="82" bestFit="1" customWidth="1"/>
    <col min="8709" max="8709" width="16.28515625" style="82" customWidth="1"/>
    <col min="8710" max="8710" width="14.7109375" style="82" customWidth="1"/>
    <col min="8711" max="8959" width="9.140625" style="82"/>
    <col min="8960" max="8960" width="16.85546875" style="82" customWidth="1"/>
    <col min="8961" max="8961" width="12.28515625" style="82" customWidth="1"/>
    <col min="8962" max="8962" width="42.5703125" style="82" customWidth="1"/>
    <col min="8963" max="8963" width="19.5703125" style="82" customWidth="1"/>
    <col min="8964" max="8964" width="13" style="82" bestFit="1" customWidth="1"/>
    <col min="8965" max="8965" width="16.28515625" style="82" customWidth="1"/>
    <col min="8966" max="8966" width="14.7109375" style="82" customWidth="1"/>
    <col min="8967" max="9215" width="9.140625" style="82"/>
    <col min="9216" max="9216" width="16.85546875" style="82" customWidth="1"/>
    <col min="9217" max="9217" width="12.28515625" style="82" customWidth="1"/>
    <col min="9218" max="9218" width="42.5703125" style="82" customWidth="1"/>
    <col min="9219" max="9219" width="19.5703125" style="82" customWidth="1"/>
    <col min="9220" max="9220" width="13" style="82" bestFit="1" customWidth="1"/>
    <col min="9221" max="9221" width="16.28515625" style="82" customWidth="1"/>
    <col min="9222" max="9222" width="14.7109375" style="82" customWidth="1"/>
    <col min="9223" max="9471" width="9.140625" style="82"/>
    <col min="9472" max="9472" width="16.85546875" style="82" customWidth="1"/>
    <col min="9473" max="9473" width="12.28515625" style="82" customWidth="1"/>
    <col min="9474" max="9474" width="42.5703125" style="82" customWidth="1"/>
    <col min="9475" max="9475" width="19.5703125" style="82" customWidth="1"/>
    <col min="9476" max="9476" width="13" style="82" bestFit="1" customWidth="1"/>
    <col min="9477" max="9477" width="16.28515625" style="82" customWidth="1"/>
    <col min="9478" max="9478" width="14.7109375" style="82" customWidth="1"/>
    <col min="9479" max="9727" width="9.140625" style="82"/>
    <col min="9728" max="9728" width="16.85546875" style="82" customWidth="1"/>
    <col min="9729" max="9729" width="12.28515625" style="82" customWidth="1"/>
    <col min="9730" max="9730" width="42.5703125" style="82" customWidth="1"/>
    <col min="9731" max="9731" width="19.5703125" style="82" customWidth="1"/>
    <col min="9732" max="9732" width="13" style="82" bestFit="1" customWidth="1"/>
    <col min="9733" max="9733" width="16.28515625" style="82" customWidth="1"/>
    <col min="9734" max="9734" width="14.7109375" style="82" customWidth="1"/>
    <col min="9735" max="9983" width="9.140625" style="82"/>
    <col min="9984" max="9984" width="16.85546875" style="82" customWidth="1"/>
    <col min="9985" max="9985" width="12.28515625" style="82" customWidth="1"/>
    <col min="9986" max="9986" width="42.5703125" style="82" customWidth="1"/>
    <col min="9987" max="9987" width="19.5703125" style="82" customWidth="1"/>
    <col min="9988" max="9988" width="13" style="82" bestFit="1" customWidth="1"/>
    <col min="9989" max="9989" width="16.28515625" style="82" customWidth="1"/>
    <col min="9990" max="9990" width="14.7109375" style="82" customWidth="1"/>
    <col min="9991" max="10239" width="9.140625" style="82"/>
    <col min="10240" max="10240" width="16.85546875" style="82" customWidth="1"/>
    <col min="10241" max="10241" width="12.28515625" style="82" customWidth="1"/>
    <col min="10242" max="10242" width="42.5703125" style="82" customWidth="1"/>
    <col min="10243" max="10243" width="19.5703125" style="82" customWidth="1"/>
    <col min="10244" max="10244" width="13" style="82" bestFit="1" customWidth="1"/>
    <col min="10245" max="10245" width="16.28515625" style="82" customWidth="1"/>
    <col min="10246" max="10246" width="14.7109375" style="82" customWidth="1"/>
    <col min="10247" max="10495" width="9.140625" style="82"/>
    <col min="10496" max="10496" width="16.85546875" style="82" customWidth="1"/>
    <col min="10497" max="10497" width="12.28515625" style="82" customWidth="1"/>
    <col min="10498" max="10498" width="42.5703125" style="82" customWidth="1"/>
    <col min="10499" max="10499" width="19.5703125" style="82" customWidth="1"/>
    <col min="10500" max="10500" width="13" style="82" bestFit="1" customWidth="1"/>
    <col min="10501" max="10501" width="16.28515625" style="82" customWidth="1"/>
    <col min="10502" max="10502" width="14.7109375" style="82" customWidth="1"/>
    <col min="10503" max="10751" width="9.140625" style="82"/>
    <col min="10752" max="10752" width="16.85546875" style="82" customWidth="1"/>
    <col min="10753" max="10753" width="12.28515625" style="82" customWidth="1"/>
    <col min="10754" max="10754" width="42.5703125" style="82" customWidth="1"/>
    <col min="10755" max="10755" width="19.5703125" style="82" customWidth="1"/>
    <col min="10756" max="10756" width="13" style="82" bestFit="1" customWidth="1"/>
    <col min="10757" max="10757" width="16.28515625" style="82" customWidth="1"/>
    <col min="10758" max="10758" width="14.7109375" style="82" customWidth="1"/>
    <col min="10759" max="11007" width="9.140625" style="82"/>
    <col min="11008" max="11008" width="16.85546875" style="82" customWidth="1"/>
    <col min="11009" max="11009" width="12.28515625" style="82" customWidth="1"/>
    <col min="11010" max="11010" width="42.5703125" style="82" customWidth="1"/>
    <col min="11011" max="11011" width="19.5703125" style="82" customWidth="1"/>
    <col min="11012" max="11012" width="13" style="82" bestFit="1" customWidth="1"/>
    <col min="11013" max="11013" width="16.28515625" style="82" customWidth="1"/>
    <col min="11014" max="11014" width="14.7109375" style="82" customWidth="1"/>
    <col min="11015" max="11263" width="9.140625" style="82"/>
    <col min="11264" max="11264" width="16.85546875" style="82" customWidth="1"/>
    <col min="11265" max="11265" width="12.28515625" style="82" customWidth="1"/>
    <col min="11266" max="11266" width="42.5703125" style="82" customWidth="1"/>
    <col min="11267" max="11267" width="19.5703125" style="82" customWidth="1"/>
    <col min="11268" max="11268" width="13" style="82" bestFit="1" customWidth="1"/>
    <col min="11269" max="11269" width="16.28515625" style="82" customWidth="1"/>
    <col min="11270" max="11270" width="14.7109375" style="82" customWidth="1"/>
    <col min="11271" max="11519" width="9.140625" style="82"/>
    <col min="11520" max="11520" width="16.85546875" style="82" customWidth="1"/>
    <col min="11521" max="11521" width="12.28515625" style="82" customWidth="1"/>
    <col min="11522" max="11522" width="42.5703125" style="82" customWidth="1"/>
    <col min="11523" max="11523" width="19.5703125" style="82" customWidth="1"/>
    <col min="11524" max="11524" width="13" style="82" bestFit="1" customWidth="1"/>
    <col min="11525" max="11525" width="16.28515625" style="82" customWidth="1"/>
    <col min="11526" max="11526" width="14.7109375" style="82" customWidth="1"/>
    <col min="11527" max="11775" width="9.140625" style="82"/>
    <col min="11776" max="11776" width="16.85546875" style="82" customWidth="1"/>
    <col min="11777" max="11777" width="12.28515625" style="82" customWidth="1"/>
    <col min="11778" max="11778" width="42.5703125" style="82" customWidth="1"/>
    <col min="11779" max="11779" width="19.5703125" style="82" customWidth="1"/>
    <col min="11780" max="11780" width="13" style="82" bestFit="1" customWidth="1"/>
    <col min="11781" max="11781" width="16.28515625" style="82" customWidth="1"/>
    <col min="11782" max="11782" width="14.7109375" style="82" customWidth="1"/>
    <col min="11783" max="12031" width="9.140625" style="82"/>
    <col min="12032" max="12032" width="16.85546875" style="82" customWidth="1"/>
    <col min="12033" max="12033" width="12.28515625" style="82" customWidth="1"/>
    <col min="12034" max="12034" width="42.5703125" style="82" customWidth="1"/>
    <col min="12035" max="12035" width="19.5703125" style="82" customWidth="1"/>
    <col min="12036" max="12036" width="13" style="82" bestFit="1" customWidth="1"/>
    <col min="12037" max="12037" width="16.28515625" style="82" customWidth="1"/>
    <col min="12038" max="12038" width="14.7109375" style="82" customWidth="1"/>
    <col min="12039" max="12287" width="9.140625" style="82"/>
    <col min="12288" max="12288" width="16.85546875" style="82" customWidth="1"/>
    <col min="12289" max="12289" width="12.28515625" style="82" customWidth="1"/>
    <col min="12290" max="12290" width="42.5703125" style="82" customWidth="1"/>
    <col min="12291" max="12291" width="19.5703125" style="82" customWidth="1"/>
    <col min="12292" max="12292" width="13" style="82" bestFit="1" customWidth="1"/>
    <col min="12293" max="12293" width="16.28515625" style="82" customWidth="1"/>
    <col min="12294" max="12294" width="14.7109375" style="82" customWidth="1"/>
    <col min="12295" max="12543" width="9.140625" style="82"/>
    <col min="12544" max="12544" width="16.85546875" style="82" customWidth="1"/>
    <col min="12545" max="12545" width="12.28515625" style="82" customWidth="1"/>
    <col min="12546" max="12546" width="42.5703125" style="82" customWidth="1"/>
    <col min="12547" max="12547" width="19.5703125" style="82" customWidth="1"/>
    <col min="12548" max="12548" width="13" style="82" bestFit="1" customWidth="1"/>
    <col min="12549" max="12549" width="16.28515625" style="82" customWidth="1"/>
    <col min="12550" max="12550" width="14.7109375" style="82" customWidth="1"/>
    <col min="12551" max="12799" width="9.140625" style="82"/>
    <col min="12800" max="12800" width="16.85546875" style="82" customWidth="1"/>
    <col min="12801" max="12801" width="12.28515625" style="82" customWidth="1"/>
    <col min="12802" max="12802" width="42.5703125" style="82" customWidth="1"/>
    <col min="12803" max="12803" width="19.5703125" style="82" customWidth="1"/>
    <col min="12804" max="12804" width="13" style="82" bestFit="1" customWidth="1"/>
    <col min="12805" max="12805" width="16.28515625" style="82" customWidth="1"/>
    <col min="12806" max="12806" width="14.7109375" style="82" customWidth="1"/>
    <col min="12807" max="13055" width="9.140625" style="82"/>
    <col min="13056" max="13056" width="16.85546875" style="82" customWidth="1"/>
    <col min="13057" max="13057" width="12.28515625" style="82" customWidth="1"/>
    <col min="13058" max="13058" width="42.5703125" style="82" customWidth="1"/>
    <col min="13059" max="13059" width="19.5703125" style="82" customWidth="1"/>
    <col min="13060" max="13060" width="13" style="82" bestFit="1" customWidth="1"/>
    <col min="13061" max="13061" width="16.28515625" style="82" customWidth="1"/>
    <col min="13062" max="13062" width="14.7109375" style="82" customWidth="1"/>
    <col min="13063" max="13311" width="9.140625" style="82"/>
    <col min="13312" max="13312" width="16.85546875" style="82" customWidth="1"/>
    <col min="13313" max="13313" width="12.28515625" style="82" customWidth="1"/>
    <col min="13314" max="13314" width="42.5703125" style="82" customWidth="1"/>
    <col min="13315" max="13315" width="19.5703125" style="82" customWidth="1"/>
    <col min="13316" max="13316" width="13" style="82" bestFit="1" customWidth="1"/>
    <col min="13317" max="13317" width="16.28515625" style="82" customWidth="1"/>
    <col min="13318" max="13318" width="14.7109375" style="82" customWidth="1"/>
    <col min="13319" max="13567" width="9.140625" style="82"/>
    <col min="13568" max="13568" width="16.85546875" style="82" customWidth="1"/>
    <col min="13569" max="13569" width="12.28515625" style="82" customWidth="1"/>
    <col min="13570" max="13570" width="42.5703125" style="82" customWidth="1"/>
    <col min="13571" max="13571" width="19.5703125" style="82" customWidth="1"/>
    <col min="13572" max="13572" width="13" style="82" bestFit="1" customWidth="1"/>
    <col min="13573" max="13573" width="16.28515625" style="82" customWidth="1"/>
    <col min="13574" max="13574" width="14.7109375" style="82" customWidth="1"/>
    <col min="13575" max="13823" width="9.140625" style="82"/>
    <col min="13824" max="13824" width="16.85546875" style="82" customWidth="1"/>
    <col min="13825" max="13825" width="12.28515625" style="82" customWidth="1"/>
    <col min="13826" max="13826" width="42.5703125" style="82" customWidth="1"/>
    <col min="13827" max="13827" width="19.5703125" style="82" customWidth="1"/>
    <col min="13828" max="13828" width="13" style="82" bestFit="1" customWidth="1"/>
    <col min="13829" max="13829" width="16.28515625" style="82" customWidth="1"/>
    <col min="13830" max="13830" width="14.7109375" style="82" customWidth="1"/>
    <col min="13831" max="14079" width="9.140625" style="82"/>
    <col min="14080" max="14080" width="16.85546875" style="82" customWidth="1"/>
    <col min="14081" max="14081" width="12.28515625" style="82" customWidth="1"/>
    <col min="14082" max="14082" width="42.5703125" style="82" customWidth="1"/>
    <col min="14083" max="14083" width="19.5703125" style="82" customWidth="1"/>
    <col min="14084" max="14084" width="13" style="82" bestFit="1" customWidth="1"/>
    <col min="14085" max="14085" width="16.28515625" style="82" customWidth="1"/>
    <col min="14086" max="14086" width="14.7109375" style="82" customWidth="1"/>
    <col min="14087" max="14335" width="9.140625" style="82"/>
    <col min="14336" max="14336" width="16.85546875" style="82" customWidth="1"/>
    <col min="14337" max="14337" width="12.28515625" style="82" customWidth="1"/>
    <col min="14338" max="14338" width="42.5703125" style="82" customWidth="1"/>
    <col min="14339" max="14339" width="19.5703125" style="82" customWidth="1"/>
    <col min="14340" max="14340" width="13" style="82" bestFit="1" customWidth="1"/>
    <col min="14341" max="14341" width="16.28515625" style="82" customWidth="1"/>
    <col min="14342" max="14342" width="14.7109375" style="82" customWidth="1"/>
    <col min="14343" max="14591" width="9.140625" style="82"/>
    <col min="14592" max="14592" width="16.85546875" style="82" customWidth="1"/>
    <col min="14593" max="14593" width="12.28515625" style="82" customWidth="1"/>
    <col min="14594" max="14594" width="42.5703125" style="82" customWidth="1"/>
    <col min="14595" max="14595" width="19.5703125" style="82" customWidth="1"/>
    <col min="14596" max="14596" width="13" style="82" bestFit="1" customWidth="1"/>
    <col min="14597" max="14597" width="16.28515625" style="82" customWidth="1"/>
    <col min="14598" max="14598" width="14.7109375" style="82" customWidth="1"/>
    <col min="14599" max="14847" width="9.140625" style="82"/>
    <col min="14848" max="14848" width="16.85546875" style="82" customWidth="1"/>
    <col min="14849" max="14849" width="12.28515625" style="82" customWidth="1"/>
    <col min="14850" max="14850" width="42.5703125" style="82" customWidth="1"/>
    <col min="14851" max="14851" width="19.5703125" style="82" customWidth="1"/>
    <col min="14852" max="14852" width="13" style="82" bestFit="1" customWidth="1"/>
    <col min="14853" max="14853" width="16.28515625" style="82" customWidth="1"/>
    <col min="14854" max="14854" width="14.7109375" style="82" customWidth="1"/>
    <col min="14855" max="15103" width="9.140625" style="82"/>
    <col min="15104" max="15104" width="16.85546875" style="82" customWidth="1"/>
    <col min="15105" max="15105" width="12.28515625" style="82" customWidth="1"/>
    <col min="15106" max="15106" width="42.5703125" style="82" customWidth="1"/>
    <col min="15107" max="15107" width="19.5703125" style="82" customWidth="1"/>
    <col min="15108" max="15108" width="13" style="82" bestFit="1" customWidth="1"/>
    <col min="15109" max="15109" width="16.28515625" style="82" customWidth="1"/>
    <col min="15110" max="15110" width="14.7109375" style="82" customWidth="1"/>
    <col min="15111" max="15359" width="9.140625" style="82"/>
    <col min="15360" max="15360" width="16.85546875" style="82" customWidth="1"/>
    <col min="15361" max="15361" width="12.28515625" style="82" customWidth="1"/>
    <col min="15362" max="15362" width="42.5703125" style="82" customWidth="1"/>
    <col min="15363" max="15363" width="19.5703125" style="82" customWidth="1"/>
    <col min="15364" max="15364" width="13" style="82" bestFit="1" customWidth="1"/>
    <col min="15365" max="15365" width="16.28515625" style="82" customWidth="1"/>
    <col min="15366" max="15366" width="14.7109375" style="82" customWidth="1"/>
    <col min="15367" max="15615" width="9.140625" style="82"/>
    <col min="15616" max="15616" width="16.85546875" style="82" customWidth="1"/>
    <col min="15617" max="15617" width="12.28515625" style="82" customWidth="1"/>
    <col min="15618" max="15618" width="42.5703125" style="82" customWidth="1"/>
    <col min="15619" max="15619" width="19.5703125" style="82" customWidth="1"/>
    <col min="15620" max="15620" width="13" style="82" bestFit="1" customWidth="1"/>
    <col min="15621" max="15621" width="16.28515625" style="82" customWidth="1"/>
    <col min="15622" max="15622" width="14.7109375" style="82" customWidth="1"/>
    <col min="15623" max="15871" width="9.140625" style="82"/>
    <col min="15872" max="15872" width="16.85546875" style="82" customWidth="1"/>
    <col min="15873" max="15873" width="12.28515625" style="82" customWidth="1"/>
    <col min="15874" max="15874" width="42.5703125" style="82" customWidth="1"/>
    <col min="15875" max="15875" width="19.5703125" style="82" customWidth="1"/>
    <col min="15876" max="15876" width="13" style="82" bestFit="1" customWidth="1"/>
    <col min="15877" max="15877" width="16.28515625" style="82" customWidth="1"/>
    <col min="15878" max="15878" width="14.7109375" style="82" customWidth="1"/>
    <col min="15879" max="16127" width="9.140625" style="82"/>
    <col min="16128" max="16128" width="16.85546875" style="82" customWidth="1"/>
    <col min="16129" max="16129" width="12.28515625" style="82" customWidth="1"/>
    <col min="16130" max="16130" width="42.5703125" style="82" customWidth="1"/>
    <col min="16131" max="16131" width="19.5703125" style="82" customWidth="1"/>
    <col min="16132" max="16132" width="13" style="82" bestFit="1" customWidth="1"/>
    <col min="16133" max="16133" width="16.28515625" style="82" customWidth="1"/>
    <col min="16134" max="16134" width="14.7109375" style="82" customWidth="1"/>
    <col min="16135" max="16384" width="9.140625" style="82"/>
  </cols>
  <sheetData>
    <row r="1" spans="1:7" ht="5.0999999999999996" customHeight="1">
      <c r="A1" s="183"/>
      <c r="B1" s="184"/>
      <c r="C1" s="184"/>
      <c r="D1" s="184"/>
      <c r="E1" s="184"/>
      <c r="F1" s="184"/>
      <c r="G1" s="184"/>
    </row>
    <row r="2" spans="1:7" ht="12" customHeight="1">
      <c r="A2" s="185" t="s">
        <v>268</v>
      </c>
      <c r="B2" s="186"/>
      <c r="C2" s="186"/>
      <c r="D2" s="186"/>
      <c r="E2" s="186"/>
      <c r="F2" s="186"/>
      <c r="G2" s="186"/>
    </row>
    <row r="3" spans="1:7" ht="12" customHeight="1">
      <c r="A3" s="159" t="s">
        <v>269</v>
      </c>
      <c r="B3" s="160"/>
      <c r="C3" s="160"/>
      <c r="D3" s="160"/>
      <c r="E3" s="160"/>
      <c r="F3" s="160"/>
      <c r="G3" s="160"/>
    </row>
    <row r="4" spans="1:7" ht="12" customHeight="1">
      <c r="A4" s="187" t="s">
        <v>270</v>
      </c>
      <c r="B4" s="188"/>
      <c r="C4" s="188"/>
      <c r="D4" s="188"/>
      <c r="E4" s="188"/>
      <c r="F4" s="188"/>
      <c r="G4" s="188"/>
    </row>
    <row r="5" spans="1:7" ht="12" customHeight="1">
      <c r="A5" s="159" t="s">
        <v>15</v>
      </c>
      <c r="B5" s="160"/>
      <c r="C5" s="160"/>
      <c r="D5" s="160"/>
      <c r="E5" s="160"/>
      <c r="F5" s="160"/>
      <c r="G5" s="160"/>
    </row>
    <row r="6" spans="1:7" ht="12" customHeight="1">
      <c r="A6" s="159" t="s">
        <v>271</v>
      </c>
      <c r="B6" s="160"/>
      <c r="C6" s="160"/>
      <c r="D6" s="160"/>
      <c r="E6" s="160"/>
      <c r="F6" s="160"/>
      <c r="G6" s="160"/>
    </row>
    <row r="7" spans="1:7" ht="12" customHeight="1">
      <c r="A7" s="159" t="s">
        <v>272</v>
      </c>
      <c r="B7" s="160"/>
      <c r="C7" s="160"/>
      <c r="D7" s="160"/>
      <c r="E7" s="160"/>
      <c r="F7" s="160"/>
      <c r="G7" s="160"/>
    </row>
    <row r="8" spans="1:7" ht="5.0999999999999996" customHeight="1">
      <c r="A8" s="175"/>
      <c r="B8" s="176"/>
      <c r="C8" s="176"/>
      <c r="D8" s="176"/>
      <c r="E8" s="176"/>
      <c r="F8" s="176"/>
      <c r="G8" s="176"/>
    </row>
    <row r="9" spans="1:7" ht="27.95" customHeight="1">
      <c r="A9" s="177" t="s">
        <v>288</v>
      </c>
      <c r="B9" s="177"/>
      <c r="C9" s="177"/>
      <c r="D9" s="178" t="s">
        <v>289</v>
      </c>
      <c r="E9" s="178"/>
      <c r="F9" s="178"/>
      <c r="G9" s="178"/>
    </row>
    <row r="10" spans="1:7">
      <c r="A10" s="179" t="s">
        <v>290</v>
      </c>
      <c r="B10" s="180"/>
      <c r="C10" s="180"/>
      <c r="D10" s="180"/>
      <c r="E10" s="180"/>
      <c r="F10" s="180"/>
      <c r="G10" s="181"/>
    </row>
    <row r="11" spans="1:7" ht="6" customHeight="1">
      <c r="A11" s="182"/>
      <c r="B11" s="182"/>
      <c r="C11" s="182"/>
      <c r="D11" s="182"/>
      <c r="E11" s="83"/>
      <c r="F11" s="84"/>
      <c r="G11" s="84"/>
    </row>
    <row r="12" spans="1:7" ht="3.95" customHeight="1">
      <c r="A12" s="191" t="s">
        <v>394</v>
      </c>
      <c r="B12" s="191"/>
      <c r="C12" s="191"/>
      <c r="D12" s="191"/>
      <c r="E12" s="191"/>
      <c r="F12" s="191"/>
      <c r="G12" s="191"/>
    </row>
    <row r="13" spans="1:7" ht="3.95" customHeight="1">
      <c r="A13" s="191"/>
      <c r="B13" s="191"/>
      <c r="C13" s="191"/>
      <c r="D13" s="191"/>
      <c r="E13" s="191"/>
      <c r="F13" s="191"/>
      <c r="G13" s="191"/>
    </row>
    <row r="14" spans="1:7" ht="3.95" customHeight="1">
      <c r="A14" s="191"/>
      <c r="B14" s="191"/>
      <c r="C14" s="191"/>
      <c r="D14" s="191"/>
      <c r="E14" s="191"/>
      <c r="F14" s="191"/>
      <c r="G14" s="191"/>
    </row>
    <row r="15" spans="1:7" ht="12" customHeight="1">
      <c r="A15" s="192" t="s">
        <v>403</v>
      </c>
      <c r="B15" s="192"/>
      <c r="C15" s="192"/>
      <c r="D15" s="192"/>
      <c r="E15" s="192"/>
      <c r="F15" s="192"/>
      <c r="G15" s="192"/>
    </row>
    <row r="16" spans="1:7" ht="12" customHeight="1">
      <c r="A16" s="193" t="s">
        <v>273</v>
      </c>
      <c r="B16" s="194"/>
      <c r="C16" s="194"/>
      <c r="D16" s="194"/>
      <c r="E16" s="194"/>
      <c r="F16" s="194"/>
      <c r="G16" s="194"/>
    </row>
    <row r="17" spans="1:9" ht="31.5">
      <c r="A17" s="85" t="s">
        <v>274</v>
      </c>
      <c r="B17" s="86" t="s">
        <v>275</v>
      </c>
      <c r="C17" s="86" t="s">
        <v>276</v>
      </c>
      <c r="D17" s="86" t="s">
        <v>277</v>
      </c>
      <c r="E17" s="86" t="s">
        <v>278</v>
      </c>
      <c r="F17" s="87" t="s">
        <v>311</v>
      </c>
      <c r="G17" s="87" t="s">
        <v>279</v>
      </c>
    </row>
    <row r="18" spans="1:9">
      <c r="A18" s="88" t="s">
        <v>298</v>
      </c>
      <c r="B18" s="89" t="s">
        <v>283</v>
      </c>
      <c r="C18" s="90" t="s">
        <v>291</v>
      </c>
      <c r="D18" s="91" t="s">
        <v>280</v>
      </c>
      <c r="E18" s="110">
        <f>0.007*(2.1*2.48)</f>
        <v>3.6456000000000002E-2</v>
      </c>
      <c r="F18" s="92">
        <v>8.92</v>
      </c>
      <c r="G18" s="93">
        <f>ROUNDUP(E18*F18,2)</f>
        <v>0.33</v>
      </c>
      <c r="I18" s="113"/>
    </row>
    <row r="19" spans="1:9">
      <c r="A19" s="88" t="s">
        <v>299</v>
      </c>
      <c r="B19" s="89" t="s">
        <v>283</v>
      </c>
      <c r="C19" s="90" t="s">
        <v>292</v>
      </c>
      <c r="D19" s="91" t="s">
        <v>280</v>
      </c>
      <c r="E19" s="110">
        <f>0.158*(2.1*2.48)</f>
        <v>0.82286400000000004</v>
      </c>
      <c r="F19" s="92">
        <v>10.86</v>
      </c>
      <c r="G19" s="93">
        <f>ROUNDUP(E19*F19,2)</f>
        <v>8.94</v>
      </c>
      <c r="I19" s="113"/>
    </row>
    <row r="20" spans="1:9">
      <c r="A20" s="88" t="s">
        <v>300</v>
      </c>
      <c r="B20" s="89" t="s">
        <v>283</v>
      </c>
      <c r="C20" s="90" t="s">
        <v>293</v>
      </c>
      <c r="D20" s="91" t="s">
        <v>280</v>
      </c>
      <c r="E20" s="110">
        <f>0.158*(2.1*2.48)</f>
        <v>0.82286400000000004</v>
      </c>
      <c r="F20" s="92">
        <v>8.92</v>
      </c>
      <c r="G20" s="93">
        <f>ROUNDUP(E20*F20,2)</f>
        <v>7.34</v>
      </c>
      <c r="I20" s="113"/>
    </row>
    <row r="21" spans="1:9">
      <c r="A21" s="88" t="s">
        <v>319</v>
      </c>
      <c r="B21" s="89" t="s">
        <v>283</v>
      </c>
      <c r="C21" s="90" t="s">
        <v>317</v>
      </c>
      <c r="D21" s="91" t="s">
        <v>280</v>
      </c>
      <c r="E21" s="110">
        <f>0.4*(2.1*2.48)</f>
        <v>2.0832000000000002</v>
      </c>
      <c r="F21" s="92">
        <v>10.86</v>
      </c>
      <c r="G21" s="93">
        <f>ROUNDDOWN(E21*F21,2)</f>
        <v>22.62</v>
      </c>
      <c r="I21" s="113"/>
    </row>
    <row r="22" spans="1:9">
      <c r="A22" s="88" t="s">
        <v>320</v>
      </c>
      <c r="B22" s="89" t="s">
        <v>283</v>
      </c>
      <c r="C22" s="90" t="s">
        <v>318</v>
      </c>
      <c r="D22" s="91" t="s">
        <v>280</v>
      </c>
      <c r="E22" s="110">
        <f>0.4*(2.1*2.48)</f>
        <v>2.0832000000000002</v>
      </c>
      <c r="F22" s="92">
        <v>8.92</v>
      </c>
      <c r="G22" s="93">
        <f>ROUNDDOWN(E22*F22,2)</f>
        <v>18.579999999999998</v>
      </c>
      <c r="I22" s="113"/>
    </row>
    <row r="23" spans="1:9">
      <c r="A23" s="88" t="s">
        <v>301</v>
      </c>
      <c r="B23" s="89" t="s">
        <v>283</v>
      </c>
      <c r="C23" s="90" t="s">
        <v>294</v>
      </c>
      <c r="D23" s="91" t="s">
        <v>280</v>
      </c>
      <c r="E23" s="110">
        <f>0.024*(2.1*2.48)</f>
        <v>0.12499200000000001</v>
      </c>
      <c r="F23" s="92">
        <v>10.86</v>
      </c>
      <c r="G23" s="93">
        <f>ROUNDUP(E23*F23,2)</f>
        <v>1.36</v>
      </c>
      <c r="I23" s="113"/>
    </row>
    <row r="24" spans="1:9">
      <c r="A24" s="88" t="s">
        <v>304</v>
      </c>
      <c r="B24" s="89" t="s">
        <v>283</v>
      </c>
      <c r="C24" s="90" t="s">
        <v>297</v>
      </c>
      <c r="D24" s="91" t="s">
        <v>280</v>
      </c>
      <c r="E24" s="110">
        <f>0.415*(2.1*2.48)</f>
        <v>2.1613199999999999</v>
      </c>
      <c r="F24" s="92">
        <v>8.92</v>
      </c>
      <c r="G24" s="93">
        <f>ROUNDUP(E24*F24,2)</f>
        <v>19.28</v>
      </c>
      <c r="I24" s="113"/>
    </row>
    <row r="25" spans="1:9">
      <c r="A25" s="195" t="s">
        <v>281</v>
      </c>
      <c r="B25" s="196"/>
      <c r="C25" s="196"/>
      <c r="D25" s="196"/>
      <c r="E25" s="196"/>
      <c r="F25" s="196"/>
      <c r="G25" s="94">
        <f>SUM(G18:G24)</f>
        <v>78.45</v>
      </c>
    </row>
    <row r="26" spans="1:9" ht="5.0999999999999996" customHeight="1">
      <c r="A26" s="95"/>
      <c r="B26" s="96"/>
      <c r="C26" s="96"/>
      <c r="D26" s="97"/>
      <c r="E26" s="97"/>
      <c r="F26" s="96"/>
      <c r="G26" s="98"/>
    </row>
    <row r="27" spans="1:9">
      <c r="A27" s="193" t="s">
        <v>282</v>
      </c>
      <c r="B27" s="194"/>
      <c r="C27" s="194"/>
      <c r="D27" s="194"/>
      <c r="E27" s="194"/>
      <c r="F27" s="194"/>
      <c r="G27" s="197"/>
    </row>
    <row r="28" spans="1:9" ht="31.5" customHeight="1">
      <c r="A28" s="86" t="s">
        <v>310</v>
      </c>
      <c r="B28" s="86" t="s">
        <v>313</v>
      </c>
      <c r="C28" s="161" t="s">
        <v>232</v>
      </c>
      <c r="D28" s="162"/>
      <c r="E28" s="169" t="s">
        <v>312</v>
      </c>
      <c r="F28" s="170"/>
      <c r="G28" s="171"/>
    </row>
    <row r="29" spans="1:9" ht="45" customHeight="1">
      <c r="A29" s="111" t="s">
        <v>390</v>
      </c>
      <c r="B29" s="112" t="s">
        <v>391</v>
      </c>
      <c r="C29" s="163" t="s">
        <v>307</v>
      </c>
      <c r="D29" s="164"/>
      <c r="E29" s="172">
        <v>2560</v>
      </c>
      <c r="F29" s="173"/>
      <c r="G29" s="174"/>
      <c r="I29" s="99"/>
    </row>
    <row r="30" spans="1:9" ht="30">
      <c r="A30" s="111" t="s">
        <v>408</v>
      </c>
      <c r="B30" s="112" t="s">
        <v>409</v>
      </c>
      <c r="C30" s="165"/>
      <c r="D30" s="166"/>
      <c r="E30" s="172">
        <v>3150</v>
      </c>
      <c r="F30" s="173"/>
      <c r="G30" s="174"/>
      <c r="I30" s="99"/>
    </row>
    <row r="31" spans="1:9" ht="30">
      <c r="A31" s="111" t="s">
        <v>315</v>
      </c>
      <c r="B31" s="112" t="s">
        <v>316</v>
      </c>
      <c r="C31" s="167"/>
      <c r="D31" s="168"/>
      <c r="E31" s="172">
        <v>3461.38</v>
      </c>
      <c r="F31" s="173"/>
      <c r="G31" s="174"/>
      <c r="I31" s="99"/>
    </row>
    <row r="32" spans="1:9" ht="39" customHeight="1">
      <c r="A32" s="190" t="s">
        <v>314</v>
      </c>
      <c r="B32" s="190"/>
      <c r="C32" s="190"/>
      <c r="D32" s="190"/>
      <c r="E32" s="189">
        <f>ROUNDDOWN(AVERAGE(E29:G31),2)</f>
        <v>3057.12</v>
      </c>
      <c r="F32" s="189"/>
      <c r="G32" s="189"/>
    </row>
    <row r="33" spans="1:8" ht="12.95" customHeight="1">
      <c r="A33" s="210" t="s">
        <v>323</v>
      </c>
      <c r="B33" s="210"/>
      <c r="C33" s="210"/>
      <c r="D33" s="200" t="s">
        <v>284</v>
      </c>
      <c r="E33" s="201"/>
      <c r="F33" s="202"/>
      <c r="G33" s="100">
        <f>G25</f>
        <v>78.45</v>
      </c>
    </row>
    <row r="34" spans="1:8" ht="12.95" customHeight="1">
      <c r="A34" s="210"/>
      <c r="B34" s="210"/>
      <c r="C34" s="210"/>
      <c r="D34" s="203" t="s">
        <v>305</v>
      </c>
      <c r="E34" s="204"/>
      <c r="F34" s="205"/>
      <c r="G34" s="101">
        <v>0.9778</v>
      </c>
      <c r="H34" s="102"/>
    </row>
    <row r="35" spans="1:8" ht="12.95" customHeight="1">
      <c r="A35" s="210"/>
      <c r="B35" s="210"/>
      <c r="C35" s="210"/>
      <c r="D35" s="206" t="s">
        <v>285</v>
      </c>
      <c r="E35" s="207"/>
      <c r="F35" s="208"/>
      <c r="G35" s="92">
        <f>ROUNDDOWN((G33+G33*G34),2)</f>
        <v>155.15</v>
      </c>
    </row>
    <row r="36" spans="1:8" ht="12.95" customHeight="1">
      <c r="A36" s="210"/>
      <c r="B36" s="210"/>
      <c r="C36" s="210"/>
      <c r="D36" s="206" t="s">
        <v>286</v>
      </c>
      <c r="E36" s="207"/>
      <c r="F36" s="208"/>
      <c r="G36" s="100">
        <f>E32</f>
        <v>3057.12</v>
      </c>
    </row>
    <row r="37" spans="1:8" ht="12.95" customHeight="1">
      <c r="A37" s="210"/>
      <c r="B37" s="210"/>
      <c r="C37" s="210"/>
      <c r="D37" s="195" t="s">
        <v>414</v>
      </c>
      <c r="E37" s="196"/>
      <c r="F37" s="209"/>
      <c r="G37" s="103">
        <f>G35+G36</f>
        <v>3212.27</v>
      </c>
    </row>
    <row r="38" spans="1:8" s="104" customFormat="1">
      <c r="C38" s="105"/>
      <c r="D38" s="106"/>
      <c r="E38" s="106"/>
      <c r="F38" s="106"/>
      <c r="G38" s="107"/>
    </row>
    <row r="39" spans="1:8" s="104" customFormat="1">
      <c r="C39" s="105"/>
      <c r="D39" s="106"/>
      <c r="E39" s="106"/>
      <c r="F39" s="106"/>
      <c r="G39" s="107"/>
    </row>
    <row r="40" spans="1:8">
      <c r="A40" s="198" t="s">
        <v>411</v>
      </c>
      <c r="B40" s="198"/>
      <c r="C40" s="198"/>
      <c r="D40" s="198"/>
      <c r="E40" s="198"/>
      <c r="F40" s="198"/>
      <c r="G40" s="198"/>
    </row>
    <row r="42" spans="1:8">
      <c r="A42" s="198" t="s">
        <v>287</v>
      </c>
      <c r="B42" s="198"/>
      <c r="C42" s="198"/>
      <c r="D42" s="198"/>
      <c r="E42" s="198"/>
      <c r="F42" s="198"/>
      <c r="G42" s="198"/>
    </row>
    <row r="43" spans="1:8">
      <c r="A43" s="199" t="s">
        <v>398</v>
      </c>
      <c r="B43" s="198"/>
      <c r="C43" s="198"/>
      <c r="D43" s="198"/>
      <c r="E43" s="198"/>
      <c r="F43" s="198"/>
      <c r="G43" s="198"/>
    </row>
    <row r="44" spans="1:8">
      <c r="A44" s="198" t="s">
        <v>399</v>
      </c>
      <c r="B44" s="198"/>
      <c r="C44" s="198"/>
      <c r="D44" s="198"/>
      <c r="E44" s="198"/>
      <c r="F44" s="198"/>
      <c r="G44" s="198"/>
    </row>
  </sheetData>
  <mergeCells count="35">
    <mergeCell ref="A6:G6"/>
    <mergeCell ref="A1:G1"/>
    <mergeCell ref="A2:G2"/>
    <mergeCell ref="A3:G3"/>
    <mergeCell ref="A4:G4"/>
    <mergeCell ref="A5:G5"/>
    <mergeCell ref="C28:D28"/>
    <mergeCell ref="E28:G28"/>
    <mergeCell ref="A7:G7"/>
    <mergeCell ref="A8:G8"/>
    <mergeCell ref="A9:C9"/>
    <mergeCell ref="D9:G9"/>
    <mergeCell ref="A10:G10"/>
    <mergeCell ref="A11:D11"/>
    <mergeCell ref="A12:G14"/>
    <mergeCell ref="A15:G15"/>
    <mergeCell ref="A16:G16"/>
    <mergeCell ref="A25:F25"/>
    <mergeCell ref="A27:G27"/>
    <mergeCell ref="C29:D31"/>
    <mergeCell ref="E29:G29"/>
    <mergeCell ref="E30:G30"/>
    <mergeCell ref="E31:G31"/>
    <mergeCell ref="A32:D32"/>
    <mergeCell ref="E32:G32"/>
    <mergeCell ref="A40:G40"/>
    <mergeCell ref="A42:G42"/>
    <mergeCell ref="A43:G43"/>
    <mergeCell ref="A44:G44"/>
    <mergeCell ref="A33:C37"/>
    <mergeCell ref="D33:F33"/>
    <mergeCell ref="D34:F34"/>
    <mergeCell ref="D35:F35"/>
    <mergeCell ref="D36:F36"/>
    <mergeCell ref="D37:F37"/>
  </mergeCells>
  <printOptions horizontalCentered="1" verticalCentered="1"/>
  <pageMargins left="0.31496062992125984" right="0.11811023622047245" top="0" bottom="0" header="0.31496062992125984" footer="0.31496062992125984"/>
  <pageSetup paperSize="9" scale="8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showGridLines="0" workbookViewId="0">
      <selection activeCell="A44" sqref="A44:G44"/>
    </sheetView>
  </sheetViews>
  <sheetFormatPr defaultRowHeight="15.75"/>
  <cols>
    <col min="1" max="1" width="35.5703125" style="82" customWidth="1"/>
    <col min="2" max="2" width="21.85546875" style="82" customWidth="1"/>
    <col min="3" max="3" width="36.5703125" style="82" customWidth="1"/>
    <col min="4" max="5" width="15.7109375" style="108" customWidth="1"/>
    <col min="6" max="6" width="18" style="82" customWidth="1"/>
    <col min="7" max="7" width="14.7109375" style="109" customWidth="1"/>
    <col min="8" max="8" width="9.5703125" style="82" bestFit="1" customWidth="1"/>
    <col min="9" max="9" width="12.7109375" style="82" bestFit="1" customWidth="1"/>
    <col min="10" max="255" width="9.140625" style="82"/>
    <col min="256" max="256" width="16.85546875" style="82" customWidth="1"/>
    <col min="257" max="257" width="12.28515625" style="82" customWidth="1"/>
    <col min="258" max="258" width="42.5703125" style="82" customWidth="1"/>
    <col min="259" max="259" width="19.5703125" style="82" customWidth="1"/>
    <col min="260" max="260" width="13" style="82" bestFit="1" customWidth="1"/>
    <col min="261" max="261" width="16.28515625" style="82" customWidth="1"/>
    <col min="262" max="262" width="14.7109375" style="82" customWidth="1"/>
    <col min="263" max="511" width="9.140625" style="82"/>
    <col min="512" max="512" width="16.85546875" style="82" customWidth="1"/>
    <col min="513" max="513" width="12.28515625" style="82" customWidth="1"/>
    <col min="514" max="514" width="42.5703125" style="82" customWidth="1"/>
    <col min="515" max="515" width="19.5703125" style="82" customWidth="1"/>
    <col min="516" max="516" width="13" style="82" bestFit="1" customWidth="1"/>
    <col min="517" max="517" width="16.28515625" style="82" customWidth="1"/>
    <col min="518" max="518" width="14.7109375" style="82" customWidth="1"/>
    <col min="519" max="767" width="9.140625" style="82"/>
    <col min="768" max="768" width="16.85546875" style="82" customWidth="1"/>
    <col min="769" max="769" width="12.28515625" style="82" customWidth="1"/>
    <col min="770" max="770" width="42.5703125" style="82" customWidth="1"/>
    <col min="771" max="771" width="19.5703125" style="82" customWidth="1"/>
    <col min="772" max="772" width="13" style="82" bestFit="1" customWidth="1"/>
    <col min="773" max="773" width="16.28515625" style="82" customWidth="1"/>
    <col min="774" max="774" width="14.7109375" style="82" customWidth="1"/>
    <col min="775" max="1023" width="9.140625" style="82"/>
    <col min="1024" max="1024" width="16.85546875" style="82" customWidth="1"/>
    <col min="1025" max="1025" width="12.28515625" style="82" customWidth="1"/>
    <col min="1026" max="1026" width="42.5703125" style="82" customWidth="1"/>
    <col min="1027" max="1027" width="19.5703125" style="82" customWidth="1"/>
    <col min="1028" max="1028" width="13" style="82" bestFit="1" customWidth="1"/>
    <col min="1029" max="1029" width="16.28515625" style="82" customWidth="1"/>
    <col min="1030" max="1030" width="14.7109375" style="82" customWidth="1"/>
    <col min="1031" max="1279" width="9.140625" style="82"/>
    <col min="1280" max="1280" width="16.85546875" style="82" customWidth="1"/>
    <col min="1281" max="1281" width="12.28515625" style="82" customWidth="1"/>
    <col min="1282" max="1282" width="42.5703125" style="82" customWidth="1"/>
    <col min="1283" max="1283" width="19.5703125" style="82" customWidth="1"/>
    <col min="1284" max="1284" width="13" style="82" bestFit="1" customWidth="1"/>
    <col min="1285" max="1285" width="16.28515625" style="82" customWidth="1"/>
    <col min="1286" max="1286" width="14.7109375" style="82" customWidth="1"/>
    <col min="1287" max="1535" width="9.140625" style="82"/>
    <col min="1536" max="1536" width="16.85546875" style="82" customWidth="1"/>
    <col min="1537" max="1537" width="12.28515625" style="82" customWidth="1"/>
    <col min="1538" max="1538" width="42.5703125" style="82" customWidth="1"/>
    <col min="1539" max="1539" width="19.5703125" style="82" customWidth="1"/>
    <col min="1540" max="1540" width="13" style="82" bestFit="1" customWidth="1"/>
    <col min="1541" max="1541" width="16.28515625" style="82" customWidth="1"/>
    <col min="1542" max="1542" width="14.7109375" style="82" customWidth="1"/>
    <col min="1543" max="1791" width="9.140625" style="82"/>
    <col min="1792" max="1792" width="16.85546875" style="82" customWidth="1"/>
    <col min="1793" max="1793" width="12.28515625" style="82" customWidth="1"/>
    <col min="1794" max="1794" width="42.5703125" style="82" customWidth="1"/>
    <col min="1795" max="1795" width="19.5703125" style="82" customWidth="1"/>
    <col min="1796" max="1796" width="13" style="82" bestFit="1" customWidth="1"/>
    <col min="1797" max="1797" width="16.28515625" style="82" customWidth="1"/>
    <col min="1798" max="1798" width="14.7109375" style="82" customWidth="1"/>
    <col min="1799" max="2047" width="9.140625" style="82"/>
    <col min="2048" max="2048" width="16.85546875" style="82" customWidth="1"/>
    <col min="2049" max="2049" width="12.28515625" style="82" customWidth="1"/>
    <col min="2050" max="2050" width="42.5703125" style="82" customWidth="1"/>
    <col min="2051" max="2051" width="19.5703125" style="82" customWidth="1"/>
    <col min="2052" max="2052" width="13" style="82" bestFit="1" customWidth="1"/>
    <col min="2053" max="2053" width="16.28515625" style="82" customWidth="1"/>
    <col min="2054" max="2054" width="14.7109375" style="82" customWidth="1"/>
    <col min="2055" max="2303" width="9.140625" style="82"/>
    <col min="2304" max="2304" width="16.85546875" style="82" customWidth="1"/>
    <col min="2305" max="2305" width="12.28515625" style="82" customWidth="1"/>
    <col min="2306" max="2306" width="42.5703125" style="82" customWidth="1"/>
    <col min="2307" max="2307" width="19.5703125" style="82" customWidth="1"/>
    <col min="2308" max="2308" width="13" style="82" bestFit="1" customWidth="1"/>
    <col min="2309" max="2309" width="16.28515625" style="82" customWidth="1"/>
    <col min="2310" max="2310" width="14.7109375" style="82" customWidth="1"/>
    <col min="2311" max="2559" width="9.140625" style="82"/>
    <col min="2560" max="2560" width="16.85546875" style="82" customWidth="1"/>
    <col min="2561" max="2561" width="12.28515625" style="82" customWidth="1"/>
    <col min="2562" max="2562" width="42.5703125" style="82" customWidth="1"/>
    <col min="2563" max="2563" width="19.5703125" style="82" customWidth="1"/>
    <col min="2564" max="2564" width="13" style="82" bestFit="1" customWidth="1"/>
    <col min="2565" max="2565" width="16.28515625" style="82" customWidth="1"/>
    <col min="2566" max="2566" width="14.7109375" style="82" customWidth="1"/>
    <col min="2567" max="2815" width="9.140625" style="82"/>
    <col min="2816" max="2816" width="16.85546875" style="82" customWidth="1"/>
    <col min="2817" max="2817" width="12.28515625" style="82" customWidth="1"/>
    <col min="2818" max="2818" width="42.5703125" style="82" customWidth="1"/>
    <col min="2819" max="2819" width="19.5703125" style="82" customWidth="1"/>
    <col min="2820" max="2820" width="13" style="82" bestFit="1" customWidth="1"/>
    <col min="2821" max="2821" width="16.28515625" style="82" customWidth="1"/>
    <col min="2822" max="2822" width="14.7109375" style="82" customWidth="1"/>
    <col min="2823" max="3071" width="9.140625" style="82"/>
    <col min="3072" max="3072" width="16.85546875" style="82" customWidth="1"/>
    <col min="3073" max="3073" width="12.28515625" style="82" customWidth="1"/>
    <col min="3074" max="3074" width="42.5703125" style="82" customWidth="1"/>
    <col min="3075" max="3075" width="19.5703125" style="82" customWidth="1"/>
    <col min="3076" max="3076" width="13" style="82" bestFit="1" customWidth="1"/>
    <col min="3077" max="3077" width="16.28515625" style="82" customWidth="1"/>
    <col min="3078" max="3078" width="14.7109375" style="82" customWidth="1"/>
    <col min="3079" max="3327" width="9.140625" style="82"/>
    <col min="3328" max="3328" width="16.85546875" style="82" customWidth="1"/>
    <col min="3329" max="3329" width="12.28515625" style="82" customWidth="1"/>
    <col min="3330" max="3330" width="42.5703125" style="82" customWidth="1"/>
    <col min="3331" max="3331" width="19.5703125" style="82" customWidth="1"/>
    <col min="3332" max="3332" width="13" style="82" bestFit="1" customWidth="1"/>
    <col min="3333" max="3333" width="16.28515625" style="82" customWidth="1"/>
    <col min="3334" max="3334" width="14.7109375" style="82" customWidth="1"/>
    <col min="3335" max="3583" width="9.140625" style="82"/>
    <col min="3584" max="3584" width="16.85546875" style="82" customWidth="1"/>
    <col min="3585" max="3585" width="12.28515625" style="82" customWidth="1"/>
    <col min="3586" max="3586" width="42.5703125" style="82" customWidth="1"/>
    <col min="3587" max="3587" width="19.5703125" style="82" customWidth="1"/>
    <col min="3588" max="3588" width="13" style="82" bestFit="1" customWidth="1"/>
    <col min="3589" max="3589" width="16.28515625" style="82" customWidth="1"/>
    <col min="3590" max="3590" width="14.7109375" style="82" customWidth="1"/>
    <col min="3591" max="3839" width="9.140625" style="82"/>
    <col min="3840" max="3840" width="16.85546875" style="82" customWidth="1"/>
    <col min="3841" max="3841" width="12.28515625" style="82" customWidth="1"/>
    <col min="3842" max="3842" width="42.5703125" style="82" customWidth="1"/>
    <col min="3843" max="3843" width="19.5703125" style="82" customWidth="1"/>
    <col min="3844" max="3844" width="13" style="82" bestFit="1" customWidth="1"/>
    <col min="3845" max="3845" width="16.28515625" style="82" customWidth="1"/>
    <col min="3846" max="3846" width="14.7109375" style="82" customWidth="1"/>
    <col min="3847" max="4095" width="9.140625" style="82"/>
    <col min="4096" max="4096" width="16.85546875" style="82" customWidth="1"/>
    <col min="4097" max="4097" width="12.28515625" style="82" customWidth="1"/>
    <col min="4098" max="4098" width="42.5703125" style="82" customWidth="1"/>
    <col min="4099" max="4099" width="19.5703125" style="82" customWidth="1"/>
    <col min="4100" max="4100" width="13" style="82" bestFit="1" customWidth="1"/>
    <col min="4101" max="4101" width="16.28515625" style="82" customWidth="1"/>
    <col min="4102" max="4102" width="14.7109375" style="82" customWidth="1"/>
    <col min="4103" max="4351" width="9.140625" style="82"/>
    <col min="4352" max="4352" width="16.85546875" style="82" customWidth="1"/>
    <col min="4353" max="4353" width="12.28515625" style="82" customWidth="1"/>
    <col min="4354" max="4354" width="42.5703125" style="82" customWidth="1"/>
    <col min="4355" max="4355" width="19.5703125" style="82" customWidth="1"/>
    <col min="4356" max="4356" width="13" style="82" bestFit="1" customWidth="1"/>
    <col min="4357" max="4357" width="16.28515625" style="82" customWidth="1"/>
    <col min="4358" max="4358" width="14.7109375" style="82" customWidth="1"/>
    <col min="4359" max="4607" width="9.140625" style="82"/>
    <col min="4608" max="4608" width="16.85546875" style="82" customWidth="1"/>
    <col min="4609" max="4609" width="12.28515625" style="82" customWidth="1"/>
    <col min="4610" max="4610" width="42.5703125" style="82" customWidth="1"/>
    <col min="4611" max="4611" width="19.5703125" style="82" customWidth="1"/>
    <col min="4612" max="4612" width="13" style="82" bestFit="1" customWidth="1"/>
    <col min="4613" max="4613" width="16.28515625" style="82" customWidth="1"/>
    <col min="4614" max="4614" width="14.7109375" style="82" customWidth="1"/>
    <col min="4615" max="4863" width="9.140625" style="82"/>
    <col min="4864" max="4864" width="16.85546875" style="82" customWidth="1"/>
    <col min="4865" max="4865" width="12.28515625" style="82" customWidth="1"/>
    <col min="4866" max="4866" width="42.5703125" style="82" customWidth="1"/>
    <col min="4867" max="4867" width="19.5703125" style="82" customWidth="1"/>
    <col min="4868" max="4868" width="13" style="82" bestFit="1" customWidth="1"/>
    <col min="4869" max="4869" width="16.28515625" style="82" customWidth="1"/>
    <col min="4870" max="4870" width="14.7109375" style="82" customWidth="1"/>
    <col min="4871" max="5119" width="9.140625" style="82"/>
    <col min="5120" max="5120" width="16.85546875" style="82" customWidth="1"/>
    <col min="5121" max="5121" width="12.28515625" style="82" customWidth="1"/>
    <col min="5122" max="5122" width="42.5703125" style="82" customWidth="1"/>
    <col min="5123" max="5123" width="19.5703125" style="82" customWidth="1"/>
    <col min="5124" max="5124" width="13" style="82" bestFit="1" customWidth="1"/>
    <col min="5125" max="5125" width="16.28515625" style="82" customWidth="1"/>
    <col min="5126" max="5126" width="14.7109375" style="82" customWidth="1"/>
    <col min="5127" max="5375" width="9.140625" style="82"/>
    <col min="5376" max="5376" width="16.85546875" style="82" customWidth="1"/>
    <col min="5377" max="5377" width="12.28515625" style="82" customWidth="1"/>
    <col min="5378" max="5378" width="42.5703125" style="82" customWidth="1"/>
    <col min="5379" max="5379" width="19.5703125" style="82" customWidth="1"/>
    <col min="5380" max="5380" width="13" style="82" bestFit="1" customWidth="1"/>
    <col min="5381" max="5381" width="16.28515625" style="82" customWidth="1"/>
    <col min="5382" max="5382" width="14.7109375" style="82" customWidth="1"/>
    <col min="5383" max="5631" width="9.140625" style="82"/>
    <col min="5632" max="5632" width="16.85546875" style="82" customWidth="1"/>
    <col min="5633" max="5633" width="12.28515625" style="82" customWidth="1"/>
    <col min="5634" max="5634" width="42.5703125" style="82" customWidth="1"/>
    <col min="5635" max="5635" width="19.5703125" style="82" customWidth="1"/>
    <col min="5636" max="5636" width="13" style="82" bestFit="1" customWidth="1"/>
    <col min="5637" max="5637" width="16.28515625" style="82" customWidth="1"/>
    <col min="5638" max="5638" width="14.7109375" style="82" customWidth="1"/>
    <col min="5639" max="5887" width="9.140625" style="82"/>
    <col min="5888" max="5888" width="16.85546875" style="82" customWidth="1"/>
    <col min="5889" max="5889" width="12.28515625" style="82" customWidth="1"/>
    <col min="5890" max="5890" width="42.5703125" style="82" customWidth="1"/>
    <col min="5891" max="5891" width="19.5703125" style="82" customWidth="1"/>
    <col min="5892" max="5892" width="13" style="82" bestFit="1" customWidth="1"/>
    <col min="5893" max="5893" width="16.28515625" style="82" customWidth="1"/>
    <col min="5894" max="5894" width="14.7109375" style="82" customWidth="1"/>
    <col min="5895" max="6143" width="9.140625" style="82"/>
    <col min="6144" max="6144" width="16.85546875" style="82" customWidth="1"/>
    <col min="6145" max="6145" width="12.28515625" style="82" customWidth="1"/>
    <col min="6146" max="6146" width="42.5703125" style="82" customWidth="1"/>
    <col min="6147" max="6147" width="19.5703125" style="82" customWidth="1"/>
    <col min="6148" max="6148" width="13" style="82" bestFit="1" customWidth="1"/>
    <col min="6149" max="6149" width="16.28515625" style="82" customWidth="1"/>
    <col min="6150" max="6150" width="14.7109375" style="82" customWidth="1"/>
    <col min="6151" max="6399" width="9.140625" style="82"/>
    <col min="6400" max="6400" width="16.85546875" style="82" customWidth="1"/>
    <col min="6401" max="6401" width="12.28515625" style="82" customWidth="1"/>
    <col min="6402" max="6402" width="42.5703125" style="82" customWidth="1"/>
    <col min="6403" max="6403" width="19.5703125" style="82" customWidth="1"/>
    <col min="6404" max="6404" width="13" style="82" bestFit="1" customWidth="1"/>
    <col min="6405" max="6405" width="16.28515625" style="82" customWidth="1"/>
    <col min="6406" max="6406" width="14.7109375" style="82" customWidth="1"/>
    <col min="6407" max="6655" width="9.140625" style="82"/>
    <col min="6656" max="6656" width="16.85546875" style="82" customWidth="1"/>
    <col min="6657" max="6657" width="12.28515625" style="82" customWidth="1"/>
    <col min="6658" max="6658" width="42.5703125" style="82" customWidth="1"/>
    <col min="6659" max="6659" width="19.5703125" style="82" customWidth="1"/>
    <col min="6660" max="6660" width="13" style="82" bestFit="1" customWidth="1"/>
    <col min="6661" max="6661" width="16.28515625" style="82" customWidth="1"/>
    <col min="6662" max="6662" width="14.7109375" style="82" customWidth="1"/>
    <col min="6663" max="6911" width="9.140625" style="82"/>
    <col min="6912" max="6912" width="16.85546875" style="82" customWidth="1"/>
    <col min="6913" max="6913" width="12.28515625" style="82" customWidth="1"/>
    <col min="6914" max="6914" width="42.5703125" style="82" customWidth="1"/>
    <col min="6915" max="6915" width="19.5703125" style="82" customWidth="1"/>
    <col min="6916" max="6916" width="13" style="82" bestFit="1" customWidth="1"/>
    <col min="6917" max="6917" width="16.28515625" style="82" customWidth="1"/>
    <col min="6918" max="6918" width="14.7109375" style="82" customWidth="1"/>
    <col min="6919" max="7167" width="9.140625" style="82"/>
    <col min="7168" max="7168" width="16.85546875" style="82" customWidth="1"/>
    <col min="7169" max="7169" width="12.28515625" style="82" customWidth="1"/>
    <col min="7170" max="7170" width="42.5703125" style="82" customWidth="1"/>
    <col min="7171" max="7171" width="19.5703125" style="82" customWidth="1"/>
    <col min="7172" max="7172" width="13" style="82" bestFit="1" customWidth="1"/>
    <col min="7173" max="7173" width="16.28515625" style="82" customWidth="1"/>
    <col min="7174" max="7174" width="14.7109375" style="82" customWidth="1"/>
    <col min="7175" max="7423" width="9.140625" style="82"/>
    <col min="7424" max="7424" width="16.85546875" style="82" customWidth="1"/>
    <col min="7425" max="7425" width="12.28515625" style="82" customWidth="1"/>
    <col min="7426" max="7426" width="42.5703125" style="82" customWidth="1"/>
    <col min="7427" max="7427" width="19.5703125" style="82" customWidth="1"/>
    <col min="7428" max="7428" width="13" style="82" bestFit="1" customWidth="1"/>
    <col min="7429" max="7429" width="16.28515625" style="82" customWidth="1"/>
    <col min="7430" max="7430" width="14.7109375" style="82" customWidth="1"/>
    <col min="7431" max="7679" width="9.140625" style="82"/>
    <col min="7680" max="7680" width="16.85546875" style="82" customWidth="1"/>
    <col min="7681" max="7681" width="12.28515625" style="82" customWidth="1"/>
    <col min="7682" max="7682" width="42.5703125" style="82" customWidth="1"/>
    <col min="7683" max="7683" width="19.5703125" style="82" customWidth="1"/>
    <col min="7684" max="7684" width="13" style="82" bestFit="1" customWidth="1"/>
    <col min="7685" max="7685" width="16.28515625" style="82" customWidth="1"/>
    <col min="7686" max="7686" width="14.7109375" style="82" customWidth="1"/>
    <col min="7687" max="7935" width="9.140625" style="82"/>
    <col min="7936" max="7936" width="16.85546875" style="82" customWidth="1"/>
    <col min="7937" max="7937" width="12.28515625" style="82" customWidth="1"/>
    <col min="7938" max="7938" width="42.5703125" style="82" customWidth="1"/>
    <col min="7939" max="7939" width="19.5703125" style="82" customWidth="1"/>
    <col min="7940" max="7940" width="13" style="82" bestFit="1" customWidth="1"/>
    <col min="7941" max="7941" width="16.28515625" style="82" customWidth="1"/>
    <col min="7942" max="7942" width="14.7109375" style="82" customWidth="1"/>
    <col min="7943" max="8191" width="9.140625" style="82"/>
    <col min="8192" max="8192" width="16.85546875" style="82" customWidth="1"/>
    <col min="8193" max="8193" width="12.28515625" style="82" customWidth="1"/>
    <col min="8194" max="8194" width="42.5703125" style="82" customWidth="1"/>
    <col min="8195" max="8195" width="19.5703125" style="82" customWidth="1"/>
    <col min="8196" max="8196" width="13" style="82" bestFit="1" customWidth="1"/>
    <col min="8197" max="8197" width="16.28515625" style="82" customWidth="1"/>
    <col min="8198" max="8198" width="14.7109375" style="82" customWidth="1"/>
    <col min="8199" max="8447" width="9.140625" style="82"/>
    <col min="8448" max="8448" width="16.85546875" style="82" customWidth="1"/>
    <col min="8449" max="8449" width="12.28515625" style="82" customWidth="1"/>
    <col min="8450" max="8450" width="42.5703125" style="82" customWidth="1"/>
    <col min="8451" max="8451" width="19.5703125" style="82" customWidth="1"/>
    <col min="8452" max="8452" width="13" style="82" bestFit="1" customWidth="1"/>
    <col min="8453" max="8453" width="16.28515625" style="82" customWidth="1"/>
    <col min="8454" max="8454" width="14.7109375" style="82" customWidth="1"/>
    <col min="8455" max="8703" width="9.140625" style="82"/>
    <col min="8704" max="8704" width="16.85546875" style="82" customWidth="1"/>
    <col min="8705" max="8705" width="12.28515625" style="82" customWidth="1"/>
    <col min="8706" max="8706" width="42.5703125" style="82" customWidth="1"/>
    <col min="8707" max="8707" width="19.5703125" style="82" customWidth="1"/>
    <col min="8708" max="8708" width="13" style="82" bestFit="1" customWidth="1"/>
    <col min="8709" max="8709" width="16.28515625" style="82" customWidth="1"/>
    <col min="8710" max="8710" width="14.7109375" style="82" customWidth="1"/>
    <col min="8711" max="8959" width="9.140625" style="82"/>
    <col min="8960" max="8960" width="16.85546875" style="82" customWidth="1"/>
    <col min="8961" max="8961" width="12.28515625" style="82" customWidth="1"/>
    <col min="8962" max="8962" width="42.5703125" style="82" customWidth="1"/>
    <col min="8963" max="8963" width="19.5703125" style="82" customWidth="1"/>
    <col min="8964" max="8964" width="13" style="82" bestFit="1" customWidth="1"/>
    <col min="8965" max="8965" width="16.28515625" style="82" customWidth="1"/>
    <col min="8966" max="8966" width="14.7109375" style="82" customWidth="1"/>
    <col min="8967" max="9215" width="9.140625" style="82"/>
    <col min="9216" max="9216" width="16.85546875" style="82" customWidth="1"/>
    <col min="9217" max="9217" width="12.28515625" style="82" customWidth="1"/>
    <col min="9218" max="9218" width="42.5703125" style="82" customWidth="1"/>
    <col min="9219" max="9219" width="19.5703125" style="82" customWidth="1"/>
    <col min="9220" max="9220" width="13" style="82" bestFit="1" customWidth="1"/>
    <col min="9221" max="9221" width="16.28515625" style="82" customWidth="1"/>
    <col min="9222" max="9222" width="14.7109375" style="82" customWidth="1"/>
    <col min="9223" max="9471" width="9.140625" style="82"/>
    <col min="9472" max="9472" width="16.85546875" style="82" customWidth="1"/>
    <col min="9473" max="9473" width="12.28515625" style="82" customWidth="1"/>
    <col min="9474" max="9474" width="42.5703125" style="82" customWidth="1"/>
    <col min="9475" max="9475" width="19.5703125" style="82" customWidth="1"/>
    <col min="9476" max="9476" width="13" style="82" bestFit="1" customWidth="1"/>
    <col min="9477" max="9477" width="16.28515625" style="82" customWidth="1"/>
    <col min="9478" max="9478" width="14.7109375" style="82" customWidth="1"/>
    <col min="9479" max="9727" width="9.140625" style="82"/>
    <col min="9728" max="9728" width="16.85546875" style="82" customWidth="1"/>
    <col min="9729" max="9729" width="12.28515625" style="82" customWidth="1"/>
    <col min="9730" max="9730" width="42.5703125" style="82" customWidth="1"/>
    <col min="9731" max="9731" width="19.5703125" style="82" customWidth="1"/>
    <col min="9732" max="9732" width="13" style="82" bestFit="1" customWidth="1"/>
    <col min="9733" max="9733" width="16.28515625" style="82" customWidth="1"/>
    <col min="9734" max="9734" width="14.7109375" style="82" customWidth="1"/>
    <col min="9735" max="9983" width="9.140625" style="82"/>
    <col min="9984" max="9984" width="16.85546875" style="82" customWidth="1"/>
    <col min="9985" max="9985" width="12.28515625" style="82" customWidth="1"/>
    <col min="9986" max="9986" width="42.5703125" style="82" customWidth="1"/>
    <col min="9987" max="9987" width="19.5703125" style="82" customWidth="1"/>
    <col min="9988" max="9988" width="13" style="82" bestFit="1" customWidth="1"/>
    <col min="9989" max="9989" width="16.28515625" style="82" customWidth="1"/>
    <col min="9990" max="9990" width="14.7109375" style="82" customWidth="1"/>
    <col min="9991" max="10239" width="9.140625" style="82"/>
    <col min="10240" max="10240" width="16.85546875" style="82" customWidth="1"/>
    <col min="10241" max="10241" width="12.28515625" style="82" customWidth="1"/>
    <col min="10242" max="10242" width="42.5703125" style="82" customWidth="1"/>
    <col min="10243" max="10243" width="19.5703125" style="82" customWidth="1"/>
    <col min="10244" max="10244" width="13" style="82" bestFit="1" customWidth="1"/>
    <col min="10245" max="10245" width="16.28515625" style="82" customWidth="1"/>
    <col min="10246" max="10246" width="14.7109375" style="82" customWidth="1"/>
    <col min="10247" max="10495" width="9.140625" style="82"/>
    <col min="10496" max="10496" width="16.85546875" style="82" customWidth="1"/>
    <col min="10497" max="10497" width="12.28515625" style="82" customWidth="1"/>
    <col min="10498" max="10498" width="42.5703125" style="82" customWidth="1"/>
    <col min="10499" max="10499" width="19.5703125" style="82" customWidth="1"/>
    <col min="10500" max="10500" width="13" style="82" bestFit="1" customWidth="1"/>
    <col min="10501" max="10501" width="16.28515625" style="82" customWidth="1"/>
    <col min="10502" max="10502" width="14.7109375" style="82" customWidth="1"/>
    <col min="10503" max="10751" width="9.140625" style="82"/>
    <col min="10752" max="10752" width="16.85546875" style="82" customWidth="1"/>
    <col min="10753" max="10753" width="12.28515625" style="82" customWidth="1"/>
    <col min="10754" max="10754" width="42.5703125" style="82" customWidth="1"/>
    <col min="10755" max="10755" width="19.5703125" style="82" customWidth="1"/>
    <col min="10756" max="10756" width="13" style="82" bestFit="1" customWidth="1"/>
    <col min="10757" max="10757" width="16.28515625" style="82" customWidth="1"/>
    <col min="10758" max="10758" width="14.7109375" style="82" customWidth="1"/>
    <col min="10759" max="11007" width="9.140625" style="82"/>
    <col min="11008" max="11008" width="16.85546875" style="82" customWidth="1"/>
    <col min="11009" max="11009" width="12.28515625" style="82" customWidth="1"/>
    <col min="11010" max="11010" width="42.5703125" style="82" customWidth="1"/>
    <col min="11011" max="11011" width="19.5703125" style="82" customWidth="1"/>
    <col min="11012" max="11012" width="13" style="82" bestFit="1" customWidth="1"/>
    <col min="11013" max="11013" width="16.28515625" style="82" customWidth="1"/>
    <col min="11014" max="11014" width="14.7109375" style="82" customWidth="1"/>
    <col min="11015" max="11263" width="9.140625" style="82"/>
    <col min="11264" max="11264" width="16.85546875" style="82" customWidth="1"/>
    <col min="11265" max="11265" width="12.28515625" style="82" customWidth="1"/>
    <col min="11266" max="11266" width="42.5703125" style="82" customWidth="1"/>
    <col min="11267" max="11267" width="19.5703125" style="82" customWidth="1"/>
    <col min="11268" max="11268" width="13" style="82" bestFit="1" customWidth="1"/>
    <col min="11269" max="11269" width="16.28515625" style="82" customWidth="1"/>
    <col min="11270" max="11270" width="14.7109375" style="82" customWidth="1"/>
    <col min="11271" max="11519" width="9.140625" style="82"/>
    <col min="11520" max="11520" width="16.85546875" style="82" customWidth="1"/>
    <col min="11521" max="11521" width="12.28515625" style="82" customWidth="1"/>
    <col min="11522" max="11522" width="42.5703125" style="82" customWidth="1"/>
    <col min="11523" max="11523" width="19.5703125" style="82" customWidth="1"/>
    <col min="11524" max="11524" width="13" style="82" bestFit="1" customWidth="1"/>
    <col min="11525" max="11525" width="16.28515625" style="82" customWidth="1"/>
    <col min="11526" max="11526" width="14.7109375" style="82" customWidth="1"/>
    <col min="11527" max="11775" width="9.140625" style="82"/>
    <col min="11776" max="11776" width="16.85546875" style="82" customWidth="1"/>
    <col min="11777" max="11777" width="12.28515625" style="82" customWidth="1"/>
    <col min="11778" max="11778" width="42.5703125" style="82" customWidth="1"/>
    <col min="11779" max="11779" width="19.5703125" style="82" customWidth="1"/>
    <col min="11780" max="11780" width="13" style="82" bestFit="1" customWidth="1"/>
    <col min="11781" max="11781" width="16.28515625" style="82" customWidth="1"/>
    <col min="11782" max="11782" width="14.7109375" style="82" customWidth="1"/>
    <col min="11783" max="12031" width="9.140625" style="82"/>
    <col min="12032" max="12032" width="16.85546875" style="82" customWidth="1"/>
    <col min="12033" max="12033" width="12.28515625" style="82" customWidth="1"/>
    <col min="12034" max="12034" width="42.5703125" style="82" customWidth="1"/>
    <col min="12035" max="12035" width="19.5703125" style="82" customWidth="1"/>
    <col min="12036" max="12036" width="13" style="82" bestFit="1" customWidth="1"/>
    <col min="12037" max="12037" width="16.28515625" style="82" customWidth="1"/>
    <col min="12038" max="12038" width="14.7109375" style="82" customWidth="1"/>
    <col min="12039" max="12287" width="9.140625" style="82"/>
    <col min="12288" max="12288" width="16.85546875" style="82" customWidth="1"/>
    <col min="12289" max="12289" width="12.28515625" style="82" customWidth="1"/>
    <col min="12290" max="12290" width="42.5703125" style="82" customWidth="1"/>
    <col min="12291" max="12291" width="19.5703125" style="82" customWidth="1"/>
    <col min="12292" max="12292" width="13" style="82" bestFit="1" customWidth="1"/>
    <col min="12293" max="12293" width="16.28515625" style="82" customWidth="1"/>
    <col min="12294" max="12294" width="14.7109375" style="82" customWidth="1"/>
    <col min="12295" max="12543" width="9.140625" style="82"/>
    <col min="12544" max="12544" width="16.85546875" style="82" customWidth="1"/>
    <col min="12545" max="12545" width="12.28515625" style="82" customWidth="1"/>
    <col min="12546" max="12546" width="42.5703125" style="82" customWidth="1"/>
    <col min="12547" max="12547" width="19.5703125" style="82" customWidth="1"/>
    <col min="12548" max="12548" width="13" style="82" bestFit="1" customWidth="1"/>
    <col min="12549" max="12549" width="16.28515625" style="82" customWidth="1"/>
    <col min="12550" max="12550" width="14.7109375" style="82" customWidth="1"/>
    <col min="12551" max="12799" width="9.140625" style="82"/>
    <col min="12800" max="12800" width="16.85546875" style="82" customWidth="1"/>
    <col min="12801" max="12801" width="12.28515625" style="82" customWidth="1"/>
    <col min="12802" max="12802" width="42.5703125" style="82" customWidth="1"/>
    <col min="12803" max="12803" width="19.5703125" style="82" customWidth="1"/>
    <col min="12804" max="12804" width="13" style="82" bestFit="1" customWidth="1"/>
    <col min="12805" max="12805" width="16.28515625" style="82" customWidth="1"/>
    <col min="12806" max="12806" width="14.7109375" style="82" customWidth="1"/>
    <col min="12807" max="13055" width="9.140625" style="82"/>
    <col min="13056" max="13056" width="16.85546875" style="82" customWidth="1"/>
    <col min="13057" max="13057" width="12.28515625" style="82" customWidth="1"/>
    <col min="13058" max="13058" width="42.5703125" style="82" customWidth="1"/>
    <col min="13059" max="13059" width="19.5703125" style="82" customWidth="1"/>
    <col min="13060" max="13060" width="13" style="82" bestFit="1" customWidth="1"/>
    <col min="13061" max="13061" width="16.28515625" style="82" customWidth="1"/>
    <col min="13062" max="13062" width="14.7109375" style="82" customWidth="1"/>
    <col min="13063" max="13311" width="9.140625" style="82"/>
    <col min="13312" max="13312" width="16.85546875" style="82" customWidth="1"/>
    <col min="13313" max="13313" width="12.28515625" style="82" customWidth="1"/>
    <col min="13314" max="13314" width="42.5703125" style="82" customWidth="1"/>
    <col min="13315" max="13315" width="19.5703125" style="82" customWidth="1"/>
    <col min="13316" max="13316" width="13" style="82" bestFit="1" customWidth="1"/>
    <col min="13317" max="13317" width="16.28515625" style="82" customWidth="1"/>
    <col min="13318" max="13318" width="14.7109375" style="82" customWidth="1"/>
    <col min="13319" max="13567" width="9.140625" style="82"/>
    <col min="13568" max="13568" width="16.85546875" style="82" customWidth="1"/>
    <col min="13569" max="13569" width="12.28515625" style="82" customWidth="1"/>
    <col min="13570" max="13570" width="42.5703125" style="82" customWidth="1"/>
    <col min="13571" max="13571" width="19.5703125" style="82" customWidth="1"/>
    <col min="13572" max="13572" width="13" style="82" bestFit="1" customWidth="1"/>
    <col min="13573" max="13573" width="16.28515625" style="82" customWidth="1"/>
    <col min="13574" max="13574" width="14.7109375" style="82" customWidth="1"/>
    <col min="13575" max="13823" width="9.140625" style="82"/>
    <col min="13824" max="13824" width="16.85546875" style="82" customWidth="1"/>
    <col min="13825" max="13825" width="12.28515625" style="82" customWidth="1"/>
    <col min="13826" max="13826" width="42.5703125" style="82" customWidth="1"/>
    <col min="13827" max="13827" width="19.5703125" style="82" customWidth="1"/>
    <col min="13828" max="13828" width="13" style="82" bestFit="1" customWidth="1"/>
    <col min="13829" max="13829" width="16.28515625" style="82" customWidth="1"/>
    <col min="13830" max="13830" width="14.7109375" style="82" customWidth="1"/>
    <col min="13831" max="14079" width="9.140625" style="82"/>
    <col min="14080" max="14080" width="16.85546875" style="82" customWidth="1"/>
    <col min="14081" max="14081" width="12.28515625" style="82" customWidth="1"/>
    <col min="14082" max="14082" width="42.5703125" style="82" customWidth="1"/>
    <col min="14083" max="14083" width="19.5703125" style="82" customWidth="1"/>
    <col min="14084" max="14084" width="13" style="82" bestFit="1" customWidth="1"/>
    <col min="14085" max="14085" width="16.28515625" style="82" customWidth="1"/>
    <col min="14086" max="14086" width="14.7109375" style="82" customWidth="1"/>
    <col min="14087" max="14335" width="9.140625" style="82"/>
    <col min="14336" max="14336" width="16.85546875" style="82" customWidth="1"/>
    <col min="14337" max="14337" width="12.28515625" style="82" customWidth="1"/>
    <col min="14338" max="14338" width="42.5703125" style="82" customWidth="1"/>
    <col min="14339" max="14339" width="19.5703125" style="82" customWidth="1"/>
    <col min="14340" max="14340" width="13" style="82" bestFit="1" customWidth="1"/>
    <col min="14341" max="14341" width="16.28515625" style="82" customWidth="1"/>
    <col min="14342" max="14342" width="14.7109375" style="82" customWidth="1"/>
    <col min="14343" max="14591" width="9.140625" style="82"/>
    <col min="14592" max="14592" width="16.85546875" style="82" customWidth="1"/>
    <col min="14593" max="14593" width="12.28515625" style="82" customWidth="1"/>
    <col min="14594" max="14594" width="42.5703125" style="82" customWidth="1"/>
    <col min="14595" max="14595" width="19.5703125" style="82" customWidth="1"/>
    <col min="14596" max="14596" width="13" style="82" bestFit="1" customWidth="1"/>
    <col min="14597" max="14597" width="16.28515625" style="82" customWidth="1"/>
    <col min="14598" max="14598" width="14.7109375" style="82" customWidth="1"/>
    <col min="14599" max="14847" width="9.140625" style="82"/>
    <col min="14848" max="14848" width="16.85546875" style="82" customWidth="1"/>
    <col min="14849" max="14849" width="12.28515625" style="82" customWidth="1"/>
    <col min="14850" max="14850" width="42.5703125" style="82" customWidth="1"/>
    <col min="14851" max="14851" width="19.5703125" style="82" customWidth="1"/>
    <col min="14852" max="14852" width="13" style="82" bestFit="1" customWidth="1"/>
    <col min="14853" max="14853" width="16.28515625" style="82" customWidth="1"/>
    <col min="14854" max="14854" width="14.7109375" style="82" customWidth="1"/>
    <col min="14855" max="15103" width="9.140625" style="82"/>
    <col min="15104" max="15104" width="16.85546875" style="82" customWidth="1"/>
    <col min="15105" max="15105" width="12.28515625" style="82" customWidth="1"/>
    <col min="15106" max="15106" width="42.5703125" style="82" customWidth="1"/>
    <col min="15107" max="15107" width="19.5703125" style="82" customWidth="1"/>
    <col min="15108" max="15108" width="13" style="82" bestFit="1" customWidth="1"/>
    <col min="15109" max="15109" width="16.28515625" style="82" customWidth="1"/>
    <col min="15110" max="15110" width="14.7109375" style="82" customWidth="1"/>
    <col min="15111" max="15359" width="9.140625" style="82"/>
    <col min="15360" max="15360" width="16.85546875" style="82" customWidth="1"/>
    <col min="15361" max="15361" width="12.28515625" style="82" customWidth="1"/>
    <col min="15362" max="15362" width="42.5703125" style="82" customWidth="1"/>
    <col min="15363" max="15363" width="19.5703125" style="82" customWidth="1"/>
    <col min="15364" max="15364" width="13" style="82" bestFit="1" customWidth="1"/>
    <col min="15365" max="15365" width="16.28515625" style="82" customWidth="1"/>
    <col min="15366" max="15366" width="14.7109375" style="82" customWidth="1"/>
    <col min="15367" max="15615" width="9.140625" style="82"/>
    <col min="15616" max="15616" width="16.85546875" style="82" customWidth="1"/>
    <col min="15617" max="15617" width="12.28515625" style="82" customWidth="1"/>
    <col min="15618" max="15618" width="42.5703125" style="82" customWidth="1"/>
    <col min="15619" max="15619" width="19.5703125" style="82" customWidth="1"/>
    <col min="15620" max="15620" width="13" style="82" bestFit="1" customWidth="1"/>
    <col min="15621" max="15621" width="16.28515625" style="82" customWidth="1"/>
    <col min="15622" max="15622" width="14.7109375" style="82" customWidth="1"/>
    <col min="15623" max="15871" width="9.140625" style="82"/>
    <col min="15872" max="15872" width="16.85546875" style="82" customWidth="1"/>
    <col min="15873" max="15873" width="12.28515625" style="82" customWidth="1"/>
    <col min="15874" max="15874" width="42.5703125" style="82" customWidth="1"/>
    <col min="15875" max="15875" width="19.5703125" style="82" customWidth="1"/>
    <col min="15876" max="15876" width="13" style="82" bestFit="1" customWidth="1"/>
    <col min="15877" max="15877" width="16.28515625" style="82" customWidth="1"/>
    <col min="15878" max="15878" width="14.7109375" style="82" customWidth="1"/>
    <col min="15879" max="16127" width="9.140625" style="82"/>
    <col min="16128" max="16128" width="16.85546875" style="82" customWidth="1"/>
    <col min="16129" max="16129" width="12.28515625" style="82" customWidth="1"/>
    <col min="16130" max="16130" width="42.5703125" style="82" customWidth="1"/>
    <col min="16131" max="16131" width="19.5703125" style="82" customWidth="1"/>
    <col min="16132" max="16132" width="13" style="82" bestFit="1" customWidth="1"/>
    <col min="16133" max="16133" width="16.28515625" style="82" customWidth="1"/>
    <col min="16134" max="16134" width="14.7109375" style="82" customWidth="1"/>
    <col min="16135" max="16384" width="9.140625" style="82"/>
  </cols>
  <sheetData>
    <row r="1" spans="1:7" ht="5.0999999999999996" customHeight="1">
      <c r="A1" s="183"/>
      <c r="B1" s="184"/>
      <c r="C1" s="184"/>
      <c r="D1" s="184"/>
      <c r="E1" s="184"/>
      <c r="F1" s="184"/>
      <c r="G1" s="184"/>
    </row>
    <row r="2" spans="1:7" ht="12" customHeight="1">
      <c r="A2" s="185" t="s">
        <v>268</v>
      </c>
      <c r="B2" s="186"/>
      <c r="C2" s="186"/>
      <c r="D2" s="186"/>
      <c r="E2" s="186"/>
      <c r="F2" s="186"/>
      <c r="G2" s="186"/>
    </row>
    <row r="3" spans="1:7" ht="12" customHeight="1">
      <c r="A3" s="159" t="s">
        <v>269</v>
      </c>
      <c r="B3" s="160"/>
      <c r="C3" s="160"/>
      <c r="D3" s="160"/>
      <c r="E3" s="160"/>
      <c r="F3" s="160"/>
      <c r="G3" s="160"/>
    </row>
    <row r="4" spans="1:7" ht="12" customHeight="1">
      <c r="A4" s="187" t="s">
        <v>270</v>
      </c>
      <c r="B4" s="188"/>
      <c r="C4" s="188"/>
      <c r="D4" s="188"/>
      <c r="E4" s="188"/>
      <c r="F4" s="188"/>
      <c r="G4" s="188"/>
    </row>
    <row r="5" spans="1:7" ht="12" customHeight="1">
      <c r="A5" s="159" t="s">
        <v>15</v>
      </c>
      <c r="B5" s="160"/>
      <c r="C5" s="160"/>
      <c r="D5" s="160"/>
      <c r="E5" s="160"/>
      <c r="F5" s="160"/>
      <c r="G5" s="160"/>
    </row>
    <row r="6" spans="1:7" ht="12" customHeight="1">
      <c r="A6" s="159" t="s">
        <v>271</v>
      </c>
      <c r="B6" s="160"/>
      <c r="C6" s="160"/>
      <c r="D6" s="160"/>
      <c r="E6" s="160"/>
      <c r="F6" s="160"/>
      <c r="G6" s="160"/>
    </row>
    <row r="7" spans="1:7" ht="12" customHeight="1">
      <c r="A7" s="159" t="s">
        <v>272</v>
      </c>
      <c r="B7" s="160"/>
      <c r="C7" s="160"/>
      <c r="D7" s="160"/>
      <c r="E7" s="160"/>
      <c r="F7" s="160"/>
      <c r="G7" s="160"/>
    </row>
    <row r="8" spans="1:7" ht="5.0999999999999996" customHeight="1">
      <c r="A8" s="175"/>
      <c r="B8" s="176"/>
      <c r="C8" s="176"/>
      <c r="D8" s="176"/>
      <c r="E8" s="176"/>
      <c r="F8" s="176"/>
      <c r="G8" s="176"/>
    </row>
    <row r="9" spans="1:7" ht="27.95" customHeight="1">
      <c r="A9" s="177" t="s">
        <v>288</v>
      </c>
      <c r="B9" s="177"/>
      <c r="C9" s="177"/>
      <c r="D9" s="178" t="s">
        <v>289</v>
      </c>
      <c r="E9" s="178"/>
      <c r="F9" s="178"/>
      <c r="G9" s="178"/>
    </row>
    <row r="10" spans="1:7">
      <c r="A10" s="179" t="s">
        <v>290</v>
      </c>
      <c r="B10" s="180"/>
      <c r="C10" s="180"/>
      <c r="D10" s="180"/>
      <c r="E10" s="180"/>
      <c r="F10" s="180"/>
      <c r="G10" s="181"/>
    </row>
    <row r="11" spans="1:7" ht="6" customHeight="1">
      <c r="A11" s="182"/>
      <c r="B11" s="182"/>
      <c r="C11" s="182"/>
      <c r="D11" s="182"/>
      <c r="E11" s="83"/>
      <c r="F11" s="84"/>
      <c r="G11" s="84"/>
    </row>
    <row r="12" spans="1:7" ht="3.95" customHeight="1">
      <c r="A12" s="191" t="s">
        <v>395</v>
      </c>
      <c r="B12" s="191"/>
      <c r="C12" s="191"/>
      <c r="D12" s="191"/>
      <c r="E12" s="191"/>
      <c r="F12" s="191"/>
      <c r="G12" s="191"/>
    </row>
    <row r="13" spans="1:7" ht="3.95" customHeight="1">
      <c r="A13" s="191"/>
      <c r="B13" s="191"/>
      <c r="C13" s="191"/>
      <c r="D13" s="191"/>
      <c r="E13" s="191"/>
      <c r="F13" s="191"/>
      <c r="G13" s="191"/>
    </row>
    <row r="14" spans="1:7" ht="3.95" customHeight="1">
      <c r="A14" s="191"/>
      <c r="B14" s="191"/>
      <c r="C14" s="191"/>
      <c r="D14" s="191"/>
      <c r="E14" s="191"/>
      <c r="F14" s="191"/>
      <c r="G14" s="191"/>
    </row>
    <row r="15" spans="1:7" ht="12" customHeight="1">
      <c r="A15" s="192" t="s">
        <v>402</v>
      </c>
      <c r="B15" s="192"/>
      <c r="C15" s="192"/>
      <c r="D15" s="192"/>
      <c r="E15" s="192"/>
      <c r="F15" s="192"/>
      <c r="G15" s="192"/>
    </row>
    <row r="16" spans="1:7" ht="12" customHeight="1">
      <c r="A16" s="193" t="s">
        <v>273</v>
      </c>
      <c r="B16" s="194"/>
      <c r="C16" s="194"/>
      <c r="D16" s="194"/>
      <c r="E16" s="194"/>
      <c r="F16" s="194"/>
      <c r="G16" s="194"/>
    </row>
    <row r="17" spans="1:9" ht="31.5">
      <c r="A17" s="85" t="s">
        <v>274</v>
      </c>
      <c r="B17" s="86" t="s">
        <v>275</v>
      </c>
      <c r="C17" s="86" t="s">
        <v>276</v>
      </c>
      <c r="D17" s="86" t="s">
        <v>277</v>
      </c>
      <c r="E17" s="86" t="s">
        <v>278</v>
      </c>
      <c r="F17" s="87" t="s">
        <v>311</v>
      </c>
      <c r="G17" s="87" t="s">
        <v>279</v>
      </c>
    </row>
    <row r="18" spans="1:9">
      <c r="A18" s="88" t="s">
        <v>298</v>
      </c>
      <c r="B18" s="89" t="s">
        <v>283</v>
      </c>
      <c r="C18" s="90" t="s">
        <v>291</v>
      </c>
      <c r="D18" s="91" t="s">
        <v>280</v>
      </c>
      <c r="E18" s="110">
        <f>0.007*(4.24*2.48)</f>
        <v>7.3606400000000002E-2</v>
      </c>
      <c r="F18" s="92">
        <v>8.92</v>
      </c>
      <c r="G18" s="93">
        <f>ROUNDUP(E18*F18,2)</f>
        <v>0.66</v>
      </c>
      <c r="I18" s="113"/>
    </row>
    <row r="19" spans="1:9">
      <c r="A19" s="88" t="s">
        <v>299</v>
      </c>
      <c r="B19" s="89" t="s">
        <v>283</v>
      </c>
      <c r="C19" s="90" t="s">
        <v>292</v>
      </c>
      <c r="D19" s="91" t="s">
        <v>280</v>
      </c>
      <c r="E19" s="110">
        <f>0.158*(4.24*2.48)</f>
        <v>1.6614016</v>
      </c>
      <c r="F19" s="92">
        <v>10.86</v>
      </c>
      <c r="G19" s="93">
        <f>ROUNDDOWN(E19*F19,2)</f>
        <v>18.04</v>
      </c>
      <c r="I19" s="113"/>
    </row>
    <row r="20" spans="1:9">
      <c r="A20" s="88" t="s">
        <v>300</v>
      </c>
      <c r="B20" s="89" t="s">
        <v>283</v>
      </c>
      <c r="C20" s="90" t="s">
        <v>293</v>
      </c>
      <c r="D20" s="91" t="s">
        <v>280</v>
      </c>
      <c r="E20" s="110">
        <f>0.158*(4.24*2.48)</f>
        <v>1.6614016</v>
      </c>
      <c r="F20" s="92">
        <v>8.92</v>
      </c>
      <c r="G20" s="93">
        <f>ROUNDUP(E20*F20,2)</f>
        <v>14.82</v>
      </c>
      <c r="I20" s="113"/>
    </row>
    <row r="21" spans="1:9">
      <c r="A21" s="88" t="s">
        <v>319</v>
      </c>
      <c r="B21" s="89" t="s">
        <v>283</v>
      </c>
      <c r="C21" s="90" t="s">
        <v>317</v>
      </c>
      <c r="D21" s="91" t="s">
        <v>280</v>
      </c>
      <c r="E21" s="110">
        <f>0.4*(4.24*2.48)</f>
        <v>4.20608</v>
      </c>
      <c r="F21" s="92">
        <v>10.86</v>
      </c>
      <c r="G21" s="93">
        <f>ROUNDUP(E21*F21,2)</f>
        <v>45.68</v>
      </c>
      <c r="I21" s="113"/>
    </row>
    <row r="22" spans="1:9">
      <c r="A22" s="88" t="s">
        <v>320</v>
      </c>
      <c r="B22" s="89" t="s">
        <v>283</v>
      </c>
      <c r="C22" s="90" t="s">
        <v>318</v>
      </c>
      <c r="D22" s="91" t="s">
        <v>280</v>
      </c>
      <c r="E22" s="110">
        <f>0.4*(4.24*2.48)</f>
        <v>4.20608</v>
      </c>
      <c r="F22" s="92">
        <v>8.92</v>
      </c>
      <c r="G22" s="93">
        <f>ROUNDUP(E22*F22,2)</f>
        <v>37.519999999999996</v>
      </c>
      <c r="I22" s="113"/>
    </row>
    <row r="23" spans="1:9">
      <c r="A23" s="88" t="s">
        <v>301</v>
      </c>
      <c r="B23" s="89" t="s">
        <v>283</v>
      </c>
      <c r="C23" s="90" t="s">
        <v>294</v>
      </c>
      <c r="D23" s="91" t="s">
        <v>280</v>
      </c>
      <c r="E23" s="110">
        <f>0.024*(4.24*2.48)</f>
        <v>0.2523648</v>
      </c>
      <c r="F23" s="92">
        <v>10.86</v>
      </c>
      <c r="G23" s="93">
        <f>ROUNDDOWN(E23*F23,2)</f>
        <v>2.74</v>
      </c>
      <c r="I23" s="113"/>
    </row>
    <row r="24" spans="1:9">
      <c r="A24" s="88" t="s">
        <v>304</v>
      </c>
      <c r="B24" s="89" t="s">
        <v>283</v>
      </c>
      <c r="C24" s="90" t="s">
        <v>297</v>
      </c>
      <c r="D24" s="91" t="s">
        <v>280</v>
      </c>
      <c r="E24" s="110">
        <f>0.415*(4.24*2.48)</f>
        <v>4.3638079999999997</v>
      </c>
      <c r="F24" s="92">
        <v>8.92</v>
      </c>
      <c r="G24" s="93">
        <f>ROUNDUP(E24*F24,2)</f>
        <v>38.93</v>
      </c>
      <c r="I24" s="113"/>
    </row>
    <row r="25" spans="1:9">
      <c r="A25" s="195" t="s">
        <v>281</v>
      </c>
      <c r="B25" s="196"/>
      <c r="C25" s="196"/>
      <c r="D25" s="196"/>
      <c r="E25" s="196"/>
      <c r="F25" s="196"/>
      <c r="G25" s="94">
        <f>SUM(G18:G24)</f>
        <v>158.38999999999999</v>
      </c>
    </row>
    <row r="26" spans="1:9" ht="5.0999999999999996" customHeight="1">
      <c r="A26" s="95"/>
      <c r="B26" s="96"/>
      <c r="C26" s="96"/>
      <c r="D26" s="97"/>
      <c r="E26" s="97"/>
      <c r="F26" s="96"/>
      <c r="G26" s="98"/>
    </row>
    <row r="27" spans="1:9">
      <c r="A27" s="193" t="s">
        <v>282</v>
      </c>
      <c r="B27" s="194"/>
      <c r="C27" s="194"/>
      <c r="D27" s="194"/>
      <c r="E27" s="194"/>
      <c r="F27" s="194"/>
      <c r="G27" s="197"/>
    </row>
    <row r="28" spans="1:9" ht="31.5" customHeight="1">
      <c r="A28" s="86" t="s">
        <v>310</v>
      </c>
      <c r="B28" s="86" t="s">
        <v>313</v>
      </c>
      <c r="C28" s="161" t="s">
        <v>232</v>
      </c>
      <c r="D28" s="162"/>
      <c r="E28" s="169" t="s">
        <v>312</v>
      </c>
      <c r="F28" s="170"/>
      <c r="G28" s="171"/>
    </row>
    <row r="29" spans="1:9" ht="45" customHeight="1">
      <c r="A29" s="111" t="s">
        <v>390</v>
      </c>
      <c r="B29" s="112" t="s">
        <v>391</v>
      </c>
      <c r="C29" s="163" t="s">
        <v>308</v>
      </c>
      <c r="D29" s="164"/>
      <c r="E29" s="172">
        <v>5103</v>
      </c>
      <c r="F29" s="173"/>
      <c r="G29" s="174"/>
      <c r="I29" s="99"/>
    </row>
    <row r="30" spans="1:9" ht="30">
      <c r="A30" s="111" t="s">
        <v>408</v>
      </c>
      <c r="B30" s="112" t="s">
        <v>409</v>
      </c>
      <c r="C30" s="165"/>
      <c r="D30" s="166"/>
      <c r="E30" s="172">
        <v>6200</v>
      </c>
      <c r="F30" s="173"/>
      <c r="G30" s="174"/>
      <c r="I30" s="99"/>
    </row>
    <row r="31" spans="1:9" ht="30">
      <c r="A31" s="111" t="s">
        <v>315</v>
      </c>
      <c r="B31" s="112" t="s">
        <v>316</v>
      </c>
      <c r="C31" s="167"/>
      <c r="D31" s="168"/>
      <c r="E31" s="172">
        <v>6418.28</v>
      </c>
      <c r="F31" s="173"/>
      <c r="G31" s="174"/>
      <c r="I31" s="99"/>
    </row>
    <row r="32" spans="1:9" ht="39" customHeight="1">
      <c r="A32" s="190" t="s">
        <v>314</v>
      </c>
      <c r="B32" s="190"/>
      <c r="C32" s="190"/>
      <c r="D32" s="190"/>
      <c r="E32" s="189">
        <f>ROUNDUP(AVERAGE(E29:G31),2)</f>
        <v>5907.1</v>
      </c>
      <c r="F32" s="189"/>
      <c r="G32" s="189"/>
    </row>
    <row r="33" spans="1:8" ht="12.95" customHeight="1">
      <c r="A33" s="210" t="s">
        <v>322</v>
      </c>
      <c r="B33" s="210"/>
      <c r="C33" s="210"/>
      <c r="D33" s="200" t="s">
        <v>284</v>
      </c>
      <c r="E33" s="201"/>
      <c r="F33" s="202"/>
      <c r="G33" s="100">
        <f>G25</f>
        <v>158.38999999999999</v>
      </c>
    </row>
    <row r="34" spans="1:8" ht="12.95" customHeight="1">
      <c r="A34" s="210"/>
      <c r="B34" s="210"/>
      <c r="C34" s="210"/>
      <c r="D34" s="203" t="s">
        <v>305</v>
      </c>
      <c r="E34" s="204"/>
      <c r="F34" s="205"/>
      <c r="G34" s="101">
        <v>0.9778</v>
      </c>
      <c r="H34" s="102"/>
    </row>
    <row r="35" spans="1:8" ht="12.95" customHeight="1">
      <c r="A35" s="210"/>
      <c r="B35" s="210"/>
      <c r="C35" s="210"/>
      <c r="D35" s="206" t="s">
        <v>285</v>
      </c>
      <c r="E35" s="207"/>
      <c r="F35" s="208"/>
      <c r="G35" s="92">
        <f>ROUNDDOWN((G33+G33*G34),2)</f>
        <v>313.26</v>
      </c>
    </row>
    <row r="36" spans="1:8" ht="12.95" customHeight="1">
      <c r="A36" s="210"/>
      <c r="B36" s="210"/>
      <c r="C36" s="210"/>
      <c r="D36" s="206" t="s">
        <v>286</v>
      </c>
      <c r="E36" s="207"/>
      <c r="F36" s="208"/>
      <c r="G36" s="100">
        <f>E32</f>
        <v>5907.1</v>
      </c>
    </row>
    <row r="37" spans="1:8" ht="12.95" customHeight="1">
      <c r="A37" s="210"/>
      <c r="B37" s="210"/>
      <c r="C37" s="210"/>
      <c r="D37" s="195" t="s">
        <v>415</v>
      </c>
      <c r="E37" s="196"/>
      <c r="F37" s="209"/>
      <c r="G37" s="103">
        <f>G35+G36</f>
        <v>6220.3600000000006</v>
      </c>
    </row>
    <row r="38" spans="1:8" s="104" customFormat="1">
      <c r="C38" s="105"/>
      <c r="D38" s="106"/>
      <c r="E38" s="106"/>
      <c r="F38" s="106"/>
      <c r="G38" s="107"/>
    </row>
    <row r="39" spans="1:8" s="104" customFormat="1">
      <c r="C39" s="105"/>
      <c r="D39" s="106"/>
      <c r="E39" s="106"/>
      <c r="F39" s="106"/>
      <c r="G39" s="107"/>
    </row>
    <row r="40" spans="1:8">
      <c r="A40" s="198" t="s">
        <v>411</v>
      </c>
      <c r="B40" s="198"/>
      <c r="C40" s="198"/>
      <c r="D40" s="198"/>
      <c r="E40" s="198"/>
      <c r="F40" s="198"/>
      <c r="G40" s="198"/>
    </row>
    <row r="42" spans="1:8">
      <c r="A42" s="198" t="s">
        <v>287</v>
      </c>
      <c r="B42" s="198"/>
      <c r="C42" s="198"/>
      <c r="D42" s="198"/>
      <c r="E42" s="198"/>
      <c r="F42" s="198"/>
      <c r="G42" s="198"/>
    </row>
    <row r="43" spans="1:8">
      <c r="A43" s="199" t="s">
        <v>398</v>
      </c>
      <c r="B43" s="198"/>
      <c r="C43" s="198"/>
      <c r="D43" s="198"/>
      <c r="E43" s="198"/>
      <c r="F43" s="198"/>
      <c r="G43" s="198"/>
    </row>
    <row r="44" spans="1:8">
      <c r="A44" s="198" t="s">
        <v>399</v>
      </c>
      <c r="B44" s="198"/>
      <c r="C44" s="198"/>
      <c r="D44" s="198"/>
      <c r="E44" s="198"/>
      <c r="F44" s="198"/>
      <c r="G44" s="198"/>
    </row>
  </sheetData>
  <mergeCells count="35">
    <mergeCell ref="A6:G6"/>
    <mergeCell ref="A1:G1"/>
    <mergeCell ref="A2:G2"/>
    <mergeCell ref="A3:G3"/>
    <mergeCell ref="A4:G4"/>
    <mergeCell ref="A5:G5"/>
    <mergeCell ref="C28:D28"/>
    <mergeCell ref="E28:G28"/>
    <mergeCell ref="A7:G7"/>
    <mergeCell ref="A8:G8"/>
    <mergeCell ref="A9:C9"/>
    <mergeCell ref="D9:G9"/>
    <mergeCell ref="A10:G10"/>
    <mergeCell ref="A11:D11"/>
    <mergeCell ref="A12:G14"/>
    <mergeCell ref="A15:G15"/>
    <mergeCell ref="A16:G16"/>
    <mergeCell ref="A25:F25"/>
    <mergeCell ref="A27:G27"/>
    <mergeCell ref="C29:D31"/>
    <mergeCell ref="E29:G29"/>
    <mergeCell ref="E30:G30"/>
    <mergeCell ref="E31:G31"/>
    <mergeCell ref="A32:D32"/>
    <mergeCell ref="E32:G32"/>
    <mergeCell ref="A40:G40"/>
    <mergeCell ref="A42:G42"/>
    <mergeCell ref="A43:G43"/>
    <mergeCell ref="A44:G44"/>
    <mergeCell ref="A33:C37"/>
    <mergeCell ref="D33:F33"/>
    <mergeCell ref="D34:F34"/>
    <mergeCell ref="D35:F35"/>
    <mergeCell ref="D36:F36"/>
    <mergeCell ref="D37:F37"/>
  </mergeCells>
  <printOptions horizontalCentered="1" verticalCentered="1"/>
  <pageMargins left="0.31496062992125984" right="0.11811023622047245" top="0" bottom="0" header="0.31496062992125984" footer="0.31496062992125984"/>
  <pageSetup paperSize="9" scale="8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showGridLines="0" topLeftCell="A4" workbookViewId="0">
      <selection activeCell="F19" sqref="F19"/>
    </sheetView>
  </sheetViews>
  <sheetFormatPr defaultRowHeight="15.75"/>
  <cols>
    <col min="1" max="1" width="35.5703125" style="82" customWidth="1"/>
    <col min="2" max="2" width="21.85546875" style="82" customWidth="1"/>
    <col min="3" max="3" width="37.85546875" style="82" customWidth="1"/>
    <col min="4" max="5" width="15.7109375" style="108" customWidth="1"/>
    <col min="6" max="6" width="18" style="82" customWidth="1"/>
    <col min="7" max="7" width="14.7109375" style="109" customWidth="1"/>
    <col min="8" max="8" width="9.5703125" style="82" bestFit="1" customWidth="1"/>
    <col min="9" max="9" width="12.7109375" style="82" bestFit="1" customWidth="1"/>
    <col min="10" max="255" width="9.140625" style="82"/>
    <col min="256" max="256" width="16.85546875" style="82" customWidth="1"/>
    <col min="257" max="257" width="12.28515625" style="82" customWidth="1"/>
    <col min="258" max="258" width="42.5703125" style="82" customWidth="1"/>
    <col min="259" max="259" width="19.5703125" style="82" customWidth="1"/>
    <col min="260" max="260" width="13" style="82" bestFit="1" customWidth="1"/>
    <col min="261" max="261" width="16.28515625" style="82" customWidth="1"/>
    <col min="262" max="262" width="14.7109375" style="82" customWidth="1"/>
    <col min="263" max="511" width="9.140625" style="82"/>
    <col min="512" max="512" width="16.85546875" style="82" customWidth="1"/>
    <col min="513" max="513" width="12.28515625" style="82" customWidth="1"/>
    <col min="514" max="514" width="42.5703125" style="82" customWidth="1"/>
    <col min="515" max="515" width="19.5703125" style="82" customWidth="1"/>
    <col min="516" max="516" width="13" style="82" bestFit="1" customWidth="1"/>
    <col min="517" max="517" width="16.28515625" style="82" customWidth="1"/>
    <col min="518" max="518" width="14.7109375" style="82" customWidth="1"/>
    <col min="519" max="767" width="9.140625" style="82"/>
    <col min="768" max="768" width="16.85546875" style="82" customWidth="1"/>
    <col min="769" max="769" width="12.28515625" style="82" customWidth="1"/>
    <col min="770" max="770" width="42.5703125" style="82" customWidth="1"/>
    <col min="771" max="771" width="19.5703125" style="82" customWidth="1"/>
    <col min="772" max="772" width="13" style="82" bestFit="1" customWidth="1"/>
    <col min="773" max="773" width="16.28515625" style="82" customWidth="1"/>
    <col min="774" max="774" width="14.7109375" style="82" customWidth="1"/>
    <col min="775" max="1023" width="9.140625" style="82"/>
    <col min="1024" max="1024" width="16.85546875" style="82" customWidth="1"/>
    <col min="1025" max="1025" width="12.28515625" style="82" customWidth="1"/>
    <col min="1026" max="1026" width="42.5703125" style="82" customWidth="1"/>
    <col min="1027" max="1027" width="19.5703125" style="82" customWidth="1"/>
    <col min="1028" max="1028" width="13" style="82" bestFit="1" customWidth="1"/>
    <col min="1029" max="1029" width="16.28515625" style="82" customWidth="1"/>
    <col min="1030" max="1030" width="14.7109375" style="82" customWidth="1"/>
    <col min="1031" max="1279" width="9.140625" style="82"/>
    <col min="1280" max="1280" width="16.85546875" style="82" customWidth="1"/>
    <col min="1281" max="1281" width="12.28515625" style="82" customWidth="1"/>
    <col min="1282" max="1282" width="42.5703125" style="82" customWidth="1"/>
    <col min="1283" max="1283" width="19.5703125" style="82" customWidth="1"/>
    <col min="1284" max="1284" width="13" style="82" bestFit="1" customWidth="1"/>
    <col min="1285" max="1285" width="16.28515625" style="82" customWidth="1"/>
    <col min="1286" max="1286" width="14.7109375" style="82" customWidth="1"/>
    <col min="1287" max="1535" width="9.140625" style="82"/>
    <col min="1536" max="1536" width="16.85546875" style="82" customWidth="1"/>
    <col min="1537" max="1537" width="12.28515625" style="82" customWidth="1"/>
    <col min="1538" max="1538" width="42.5703125" style="82" customWidth="1"/>
    <col min="1539" max="1539" width="19.5703125" style="82" customWidth="1"/>
    <col min="1540" max="1540" width="13" style="82" bestFit="1" customWidth="1"/>
    <col min="1541" max="1541" width="16.28515625" style="82" customWidth="1"/>
    <col min="1542" max="1542" width="14.7109375" style="82" customWidth="1"/>
    <col min="1543" max="1791" width="9.140625" style="82"/>
    <col min="1792" max="1792" width="16.85546875" style="82" customWidth="1"/>
    <col min="1793" max="1793" width="12.28515625" style="82" customWidth="1"/>
    <col min="1794" max="1794" width="42.5703125" style="82" customWidth="1"/>
    <col min="1795" max="1795" width="19.5703125" style="82" customWidth="1"/>
    <col min="1796" max="1796" width="13" style="82" bestFit="1" customWidth="1"/>
    <col min="1797" max="1797" width="16.28515625" style="82" customWidth="1"/>
    <col min="1798" max="1798" width="14.7109375" style="82" customWidth="1"/>
    <col min="1799" max="2047" width="9.140625" style="82"/>
    <col min="2048" max="2048" width="16.85546875" style="82" customWidth="1"/>
    <col min="2049" max="2049" width="12.28515625" style="82" customWidth="1"/>
    <col min="2050" max="2050" width="42.5703125" style="82" customWidth="1"/>
    <col min="2051" max="2051" width="19.5703125" style="82" customWidth="1"/>
    <col min="2052" max="2052" width="13" style="82" bestFit="1" customWidth="1"/>
    <col min="2053" max="2053" width="16.28515625" style="82" customWidth="1"/>
    <col min="2054" max="2054" width="14.7109375" style="82" customWidth="1"/>
    <col min="2055" max="2303" width="9.140625" style="82"/>
    <col min="2304" max="2304" width="16.85546875" style="82" customWidth="1"/>
    <col min="2305" max="2305" width="12.28515625" style="82" customWidth="1"/>
    <col min="2306" max="2306" width="42.5703125" style="82" customWidth="1"/>
    <col min="2307" max="2307" width="19.5703125" style="82" customWidth="1"/>
    <col min="2308" max="2308" width="13" style="82" bestFit="1" customWidth="1"/>
    <col min="2309" max="2309" width="16.28515625" style="82" customWidth="1"/>
    <col min="2310" max="2310" width="14.7109375" style="82" customWidth="1"/>
    <col min="2311" max="2559" width="9.140625" style="82"/>
    <col min="2560" max="2560" width="16.85546875" style="82" customWidth="1"/>
    <col min="2561" max="2561" width="12.28515625" style="82" customWidth="1"/>
    <col min="2562" max="2562" width="42.5703125" style="82" customWidth="1"/>
    <col min="2563" max="2563" width="19.5703125" style="82" customWidth="1"/>
    <col min="2564" max="2564" width="13" style="82" bestFit="1" customWidth="1"/>
    <col min="2565" max="2565" width="16.28515625" style="82" customWidth="1"/>
    <col min="2566" max="2566" width="14.7109375" style="82" customWidth="1"/>
    <col min="2567" max="2815" width="9.140625" style="82"/>
    <col min="2816" max="2816" width="16.85546875" style="82" customWidth="1"/>
    <col min="2817" max="2817" width="12.28515625" style="82" customWidth="1"/>
    <col min="2818" max="2818" width="42.5703125" style="82" customWidth="1"/>
    <col min="2819" max="2819" width="19.5703125" style="82" customWidth="1"/>
    <col min="2820" max="2820" width="13" style="82" bestFit="1" customWidth="1"/>
    <col min="2821" max="2821" width="16.28515625" style="82" customWidth="1"/>
    <col min="2822" max="2822" width="14.7109375" style="82" customWidth="1"/>
    <col min="2823" max="3071" width="9.140625" style="82"/>
    <col min="3072" max="3072" width="16.85546875" style="82" customWidth="1"/>
    <col min="3073" max="3073" width="12.28515625" style="82" customWidth="1"/>
    <col min="3074" max="3074" width="42.5703125" style="82" customWidth="1"/>
    <col min="3075" max="3075" width="19.5703125" style="82" customWidth="1"/>
    <col min="3076" max="3076" width="13" style="82" bestFit="1" customWidth="1"/>
    <col min="3077" max="3077" width="16.28515625" style="82" customWidth="1"/>
    <col min="3078" max="3078" width="14.7109375" style="82" customWidth="1"/>
    <col min="3079" max="3327" width="9.140625" style="82"/>
    <col min="3328" max="3328" width="16.85546875" style="82" customWidth="1"/>
    <col min="3329" max="3329" width="12.28515625" style="82" customWidth="1"/>
    <col min="3330" max="3330" width="42.5703125" style="82" customWidth="1"/>
    <col min="3331" max="3331" width="19.5703125" style="82" customWidth="1"/>
    <col min="3332" max="3332" width="13" style="82" bestFit="1" customWidth="1"/>
    <col min="3333" max="3333" width="16.28515625" style="82" customWidth="1"/>
    <col min="3334" max="3334" width="14.7109375" style="82" customWidth="1"/>
    <col min="3335" max="3583" width="9.140625" style="82"/>
    <col min="3584" max="3584" width="16.85546875" style="82" customWidth="1"/>
    <col min="3585" max="3585" width="12.28515625" style="82" customWidth="1"/>
    <col min="3586" max="3586" width="42.5703125" style="82" customWidth="1"/>
    <col min="3587" max="3587" width="19.5703125" style="82" customWidth="1"/>
    <col min="3588" max="3588" width="13" style="82" bestFit="1" customWidth="1"/>
    <col min="3589" max="3589" width="16.28515625" style="82" customWidth="1"/>
    <col min="3590" max="3590" width="14.7109375" style="82" customWidth="1"/>
    <col min="3591" max="3839" width="9.140625" style="82"/>
    <col min="3840" max="3840" width="16.85546875" style="82" customWidth="1"/>
    <col min="3841" max="3841" width="12.28515625" style="82" customWidth="1"/>
    <col min="3842" max="3842" width="42.5703125" style="82" customWidth="1"/>
    <col min="3843" max="3843" width="19.5703125" style="82" customWidth="1"/>
    <col min="3844" max="3844" width="13" style="82" bestFit="1" customWidth="1"/>
    <col min="3845" max="3845" width="16.28515625" style="82" customWidth="1"/>
    <col min="3846" max="3846" width="14.7109375" style="82" customWidth="1"/>
    <col min="3847" max="4095" width="9.140625" style="82"/>
    <col min="4096" max="4096" width="16.85546875" style="82" customWidth="1"/>
    <col min="4097" max="4097" width="12.28515625" style="82" customWidth="1"/>
    <col min="4098" max="4098" width="42.5703125" style="82" customWidth="1"/>
    <col min="4099" max="4099" width="19.5703125" style="82" customWidth="1"/>
    <col min="4100" max="4100" width="13" style="82" bestFit="1" customWidth="1"/>
    <col min="4101" max="4101" width="16.28515625" style="82" customWidth="1"/>
    <col min="4102" max="4102" width="14.7109375" style="82" customWidth="1"/>
    <col min="4103" max="4351" width="9.140625" style="82"/>
    <col min="4352" max="4352" width="16.85546875" style="82" customWidth="1"/>
    <col min="4353" max="4353" width="12.28515625" style="82" customWidth="1"/>
    <col min="4354" max="4354" width="42.5703125" style="82" customWidth="1"/>
    <col min="4355" max="4355" width="19.5703125" style="82" customWidth="1"/>
    <col min="4356" max="4356" width="13" style="82" bestFit="1" customWidth="1"/>
    <col min="4357" max="4357" width="16.28515625" style="82" customWidth="1"/>
    <col min="4358" max="4358" width="14.7109375" style="82" customWidth="1"/>
    <col min="4359" max="4607" width="9.140625" style="82"/>
    <col min="4608" max="4608" width="16.85546875" style="82" customWidth="1"/>
    <col min="4609" max="4609" width="12.28515625" style="82" customWidth="1"/>
    <col min="4610" max="4610" width="42.5703125" style="82" customWidth="1"/>
    <col min="4611" max="4611" width="19.5703125" style="82" customWidth="1"/>
    <col min="4612" max="4612" width="13" style="82" bestFit="1" customWidth="1"/>
    <col min="4613" max="4613" width="16.28515625" style="82" customWidth="1"/>
    <col min="4614" max="4614" width="14.7109375" style="82" customWidth="1"/>
    <col min="4615" max="4863" width="9.140625" style="82"/>
    <col min="4864" max="4864" width="16.85546875" style="82" customWidth="1"/>
    <col min="4865" max="4865" width="12.28515625" style="82" customWidth="1"/>
    <col min="4866" max="4866" width="42.5703125" style="82" customWidth="1"/>
    <col min="4867" max="4867" width="19.5703125" style="82" customWidth="1"/>
    <col min="4868" max="4868" width="13" style="82" bestFit="1" customWidth="1"/>
    <col min="4869" max="4869" width="16.28515625" style="82" customWidth="1"/>
    <col min="4870" max="4870" width="14.7109375" style="82" customWidth="1"/>
    <col min="4871" max="5119" width="9.140625" style="82"/>
    <col min="5120" max="5120" width="16.85546875" style="82" customWidth="1"/>
    <col min="5121" max="5121" width="12.28515625" style="82" customWidth="1"/>
    <col min="5122" max="5122" width="42.5703125" style="82" customWidth="1"/>
    <col min="5123" max="5123" width="19.5703125" style="82" customWidth="1"/>
    <col min="5124" max="5124" width="13" style="82" bestFit="1" customWidth="1"/>
    <col min="5125" max="5125" width="16.28515625" style="82" customWidth="1"/>
    <col min="5126" max="5126" width="14.7109375" style="82" customWidth="1"/>
    <col min="5127" max="5375" width="9.140625" style="82"/>
    <col min="5376" max="5376" width="16.85546875" style="82" customWidth="1"/>
    <col min="5377" max="5377" width="12.28515625" style="82" customWidth="1"/>
    <col min="5378" max="5378" width="42.5703125" style="82" customWidth="1"/>
    <col min="5379" max="5379" width="19.5703125" style="82" customWidth="1"/>
    <col min="5380" max="5380" width="13" style="82" bestFit="1" customWidth="1"/>
    <col min="5381" max="5381" width="16.28515625" style="82" customWidth="1"/>
    <col min="5382" max="5382" width="14.7109375" style="82" customWidth="1"/>
    <col min="5383" max="5631" width="9.140625" style="82"/>
    <col min="5632" max="5632" width="16.85546875" style="82" customWidth="1"/>
    <col min="5633" max="5633" width="12.28515625" style="82" customWidth="1"/>
    <col min="5634" max="5634" width="42.5703125" style="82" customWidth="1"/>
    <col min="5635" max="5635" width="19.5703125" style="82" customWidth="1"/>
    <col min="5636" max="5636" width="13" style="82" bestFit="1" customWidth="1"/>
    <col min="5637" max="5637" width="16.28515625" style="82" customWidth="1"/>
    <col min="5638" max="5638" width="14.7109375" style="82" customWidth="1"/>
    <col min="5639" max="5887" width="9.140625" style="82"/>
    <col min="5888" max="5888" width="16.85546875" style="82" customWidth="1"/>
    <col min="5889" max="5889" width="12.28515625" style="82" customWidth="1"/>
    <col min="5890" max="5890" width="42.5703125" style="82" customWidth="1"/>
    <col min="5891" max="5891" width="19.5703125" style="82" customWidth="1"/>
    <col min="5892" max="5892" width="13" style="82" bestFit="1" customWidth="1"/>
    <col min="5893" max="5893" width="16.28515625" style="82" customWidth="1"/>
    <col min="5894" max="5894" width="14.7109375" style="82" customWidth="1"/>
    <col min="5895" max="6143" width="9.140625" style="82"/>
    <col min="6144" max="6144" width="16.85546875" style="82" customWidth="1"/>
    <col min="6145" max="6145" width="12.28515625" style="82" customWidth="1"/>
    <col min="6146" max="6146" width="42.5703125" style="82" customWidth="1"/>
    <col min="6147" max="6147" width="19.5703125" style="82" customWidth="1"/>
    <col min="6148" max="6148" width="13" style="82" bestFit="1" customWidth="1"/>
    <col min="6149" max="6149" width="16.28515625" style="82" customWidth="1"/>
    <col min="6150" max="6150" width="14.7109375" style="82" customWidth="1"/>
    <col min="6151" max="6399" width="9.140625" style="82"/>
    <col min="6400" max="6400" width="16.85546875" style="82" customWidth="1"/>
    <col min="6401" max="6401" width="12.28515625" style="82" customWidth="1"/>
    <col min="6402" max="6402" width="42.5703125" style="82" customWidth="1"/>
    <col min="6403" max="6403" width="19.5703125" style="82" customWidth="1"/>
    <col min="6404" max="6404" width="13" style="82" bestFit="1" customWidth="1"/>
    <col min="6405" max="6405" width="16.28515625" style="82" customWidth="1"/>
    <col min="6406" max="6406" width="14.7109375" style="82" customWidth="1"/>
    <col min="6407" max="6655" width="9.140625" style="82"/>
    <col min="6656" max="6656" width="16.85546875" style="82" customWidth="1"/>
    <col min="6657" max="6657" width="12.28515625" style="82" customWidth="1"/>
    <col min="6658" max="6658" width="42.5703125" style="82" customWidth="1"/>
    <col min="6659" max="6659" width="19.5703125" style="82" customWidth="1"/>
    <col min="6660" max="6660" width="13" style="82" bestFit="1" customWidth="1"/>
    <col min="6661" max="6661" width="16.28515625" style="82" customWidth="1"/>
    <col min="6662" max="6662" width="14.7109375" style="82" customWidth="1"/>
    <col min="6663" max="6911" width="9.140625" style="82"/>
    <col min="6912" max="6912" width="16.85546875" style="82" customWidth="1"/>
    <col min="6913" max="6913" width="12.28515625" style="82" customWidth="1"/>
    <col min="6914" max="6914" width="42.5703125" style="82" customWidth="1"/>
    <col min="6915" max="6915" width="19.5703125" style="82" customWidth="1"/>
    <col min="6916" max="6916" width="13" style="82" bestFit="1" customWidth="1"/>
    <col min="6917" max="6917" width="16.28515625" style="82" customWidth="1"/>
    <col min="6918" max="6918" width="14.7109375" style="82" customWidth="1"/>
    <col min="6919" max="7167" width="9.140625" style="82"/>
    <col min="7168" max="7168" width="16.85546875" style="82" customWidth="1"/>
    <col min="7169" max="7169" width="12.28515625" style="82" customWidth="1"/>
    <col min="7170" max="7170" width="42.5703125" style="82" customWidth="1"/>
    <col min="7171" max="7171" width="19.5703125" style="82" customWidth="1"/>
    <col min="7172" max="7172" width="13" style="82" bestFit="1" customWidth="1"/>
    <col min="7173" max="7173" width="16.28515625" style="82" customWidth="1"/>
    <col min="7174" max="7174" width="14.7109375" style="82" customWidth="1"/>
    <col min="7175" max="7423" width="9.140625" style="82"/>
    <col min="7424" max="7424" width="16.85546875" style="82" customWidth="1"/>
    <col min="7425" max="7425" width="12.28515625" style="82" customWidth="1"/>
    <col min="7426" max="7426" width="42.5703125" style="82" customWidth="1"/>
    <col min="7427" max="7427" width="19.5703125" style="82" customWidth="1"/>
    <col min="7428" max="7428" width="13" style="82" bestFit="1" customWidth="1"/>
    <col min="7429" max="7429" width="16.28515625" style="82" customWidth="1"/>
    <col min="7430" max="7430" width="14.7109375" style="82" customWidth="1"/>
    <col min="7431" max="7679" width="9.140625" style="82"/>
    <col min="7680" max="7680" width="16.85546875" style="82" customWidth="1"/>
    <col min="7681" max="7681" width="12.28515625" style="82" customWidth="1"/>
    <col min="7682" max="7682" width="42.5703125" style="82" customWidth="1"/>
    <col min="7683" max="7683" width="19.5703125" style="82" customWidth="1"/>
    <col min="7684" max="7684" width="13" style="82" bestFit="1" customWidth="1"/>
    <col min="7685" max="7685" width="16.28515625" style="82" customWidth="1"/>
    <col min="7686" max="7686" width="14.7109375" style="82" customWidth="1"/>
    <col min="7687" max="7935" width="9.140625" style="82"/>
    <col min="7936" max="7936" width="16.85546875" style="82" customWidth="1"/>
    <col min="7937" max="7937" width="12.28515625" style="82" customWidth="1"/>
    <col min="7938" max="7938" width="42.5703125" style="82" customWidth="1"/>
    <col min="7939" max="7939" width="19.5703125" style="82" customWidth="1"/>
    <col min="7940" max="7940" width="13" style="82" bestFit="1" customWidth="1"/>
    <col min="7941" max="7941" width="16.28515625" style="82" customWidth="1"/>
    <col min="7942" max="7942" width="14.7109375" style="82" customWidth="1"/>
    <col min="7943" max="8191" width="9.140625" style="82"/>
    <col min="8192" max="8192" width="16.85546875" style="82" customWidth="1"/>
    <col min="8193" max="8193" width="12.28515625" style="82" customWidth="1"/>
    <col min="8194" max="8194" width="42.5703125" style="82" customWidth="1"/>
    <col min="8195" max="8195" width="19.5703125" style="82" customWidth="1"/>
    <col min="8196" max="8196" width="13" style="82" bestFit="1" customWidth="1"/>
    <col min="8197" max="8197" width="16.28515625" style="82" customWidth="1"/>
    <col min="8198" max="8198" width="14.7109375" style="82" customWidth="1"/>
    <col min="8199" max="8447" width="9.140625" style="82"/>
    <col min="8448" max="8448" width="16.85546875" style="82" customWidth="1"/>
    <col min="8449" max="8449" width="12.28515625" style="82" customWidth="1"/>
    <col min="8450" max="8450" width="42.5703125" style="82" customWidth="1"/>
    <col min="8451" max="8451" width="19.5703125" style="82" customWidth="1"/>
    <col min="8452" max="8452" width="13" style="82" bestFit="1" customWidth="1"/>
    <col min="8453" max="8453" width="16.28515625" style="82" customWidth="1"/>
    <col min="8454" max="8454" width="14.7109375" style="82" customWidth="1"/>
    <col min="8455" max="8703" width="9.140625" style="82"/>
    <col min="8704" max="8704" width="16.85546875" style="82" customWidth="1"/>
    <col min="8705" max="8705" width="12.28515625" style="82" customWidth="1"/>
    <col min="8706" max="8706" width="42.5703125" style="82" customWidth="1"/>
    <col min="8707" max="8707" width="19.5703125" style="82" customWidth="1"/>
    <col min="8708" max="8708" width="13" style="82" bestFit="1" customWidth="1"/>
    <col min="8709" max="8709" width="16.28515625" style="82" customWidth="1"/>
    <col min="8710" max="8710" width="14.7109375" style="82" customWidth="1"/>
    <col min="8711" max="8959" width="9.140625" style="82"/>
    <col min="8960" max="8960" width="16.85546875" style="82" customWidth="1"/>
    <col min="8961" max="8961" width="12.28515625" style="82" customWidth="1"/>
    <col min="8962" max="8962" width="42.5703125" style="82" customWidth="1"/>
    <col min="8963" max="8963" width="19.5703125" style="82" customWidth="1"/>
    <col min="8964" max="8964" width="13" style="82" bestFit="1" customWidth="1"/>
    <col min="8965" max="8965" width="16.28515625" style="82" customWidth="1"/>
    <col min="8966" max="8966" width="14.7109375" style="82" customWidth="1"/>
    <col min="8967" max="9215" width="9.140625" style="82"/>
    <col min="9216" max="9216" width="16.85546875" style="82" customWidth="1"/>
    <col min="9217" max="9217" width="12.28515625" style="82" customWidth="1"/>
    <col min="9218" max="9218" width="42.5703125" style="82" customWidth="1"/>
    <col min="9219" max="9219" width="19.5703125" style="82" customWidth="1"/>
    <col min="9220" max="9220" width="13" style="82" bestFit="1" customWidth="1"/>
    <col min="9221" max="9221" width="16.28515625" style="82" customWidth="1"/>
    <col min="9222" max="9222" width="14.7109375" style="82" customWidth="1"/>
    <col min="9223" max="9471" width="9.140625" style="82"/>
    <col min="9472" max="9472" width="16.85546875" style="82" customWidth="1"/>
    <col min="9473" max="9473" width="12.28515625" style="82" customWidth="1"/>
    <col min="9474" max="9474" width="42.5703125" style="82" customWidth="1"/>
    <col min="9475" max="9475" width="19.5703125" style="82" customWidth="1"/>
    <col min="9476" max="9476" width="13" style="82" bestFit="1" customWidth="1"/>
    <col min="9477" max="9477" width="16.28515625" style="82" customWidth="1"/>
    <col min="9478" max="9478" width="14.7109375" style="82" customWidth="1"/>
    <col min="9479" max="9727" width="9.140625" style="82"/>
    <col min="9728" max="9728" width="16.85546875" style="82" customWidth="1"/>
    <col min="9729" max="9729" width="12.28515625" style="82" customWidth="1"/>
    <col min="9730" max="9730" width="42.5703125" style="82" customWidth="1"/>
    <col min="9731" max="9731" width="19.5703125" style="82" customWidth="1"/>
    <col min="9732" max="9732" width="13" style="82" bestFit="1" customWidth="1"/>
    <col min="9733" max="9733" width="16.28515625" style="82" customWidth="1"/>
    <col min="9734" max="9734" width="14.7109375" style="82" customWidth="1"/>
    <col min="9735" max="9983" width="9.140625" style="82"/>
    <col min="9984" max="9984" width="16.85546875" style="82" customWidth="1"/>
    <col min="9985" max="9985" width="12.28515625" style="82" customWidth="1"/>
    <col min="9986" max="9986" width="42.5703125" style="82" customWidth="1"/>
    <col min="9987" max="9987" width="19.5703125" style="82" customWidth="1"/>
    <col min="9988" max="9988" width="13" style="82" bestFit="1" customWidth="1"/>
    <col min="9989" max="9989" width="16.28515625" style="82" customWidth="1"/>
    <col min="9990" max="9990" width="14.7109375" style="82" customWidth="1"/>
    <col min="9991" max="10239" width="9.140625" style="82"/>
    <col min="10240" max="10240" width="16.85546875" style="82" customWidth="1"/>
    <col min="10241" max="10241" width="12.28515625" style="82" customWidth="1"/>
    <col min="10242" max="10242" width="42.5703125" style="82" customWidth="1"/>
    <col min="10243" max="10243" width="19.5703125" style="82" customWidth="1"/>
    <col min="10244" max="10244" width="13" style="82" bestFit="1" customWidth="1"/>
    <col min="10245" max="10245" width="16.28515625" style="82" customWidth="1"/>
    <col min="10246" max="10246" width="14.7109375" style="82" customWidth="1"/>
    <col min="10247" max="10495" width="9.140625" style="82"/>
    <col min="10496" max="10496" width="16.85546875" style="82" customWidth="1"/>
    <col min="10497" max="10497" width="12.28515625" style="82" customWidth="1"/>
    <col min="10498" max="10498" width="42.5703125" style="82" customWidth="1"/>
    <col min="10499" max="10499" width="19.5703125" style="82" customWidth="1"/>
    <col min="10500" max="10500" width="13" style="82" bestFit="1" customWidth="1"/>
    <col min="10501" max="10501" width="16.28515625" style="82" customWidth="1"/>
    <col min="10502" max="10502" width="14.7109375" style="82" customWidth="1"/>
    <col min="10503" max="10751" width="9.140625" style="82"/>
    <col min="10752" max="10752" width="16.85546875" style="82" customWidth="1"/>
    <col min="10753" max="10753" width="12.28515625" style="82" customWidth="1"/>
    <col min="10754" max="10754" width="42.5703125" style="82" customWidth="1"/>
    <col min="10755" max="10755" width="19.5703125" style="82" customWidth="1"/>
    <col min="10756" max="10756" width="13" style="82" bestFit="1" customWidth="1"/>
    <col min="10757" max="10757" width="16.28515625" style="82" customWidth="1"/>
    <col min="10758" max="10758" width="14.7109375" style="82" customWidth="1"/>
    <col min="10759" max="11007" width="9.140625" style="82"/>
    <col min="11008" max="11008" width="16.85546875" style="82" customWidth="1"/>
    <col min="11009" max="11009" width="12.28515625" style="82" customWidth="1"/>
    <col min="11010" max="11010" width="42.5703125" style="82" customWidth="1"/>
    <col min="11011" max="11011" width="19.5703125" style="82" customWidth="1"/>
    <col min="11012" max="11012" width="13" style="82" bestFit="1" customWidth="1"/>
    <col min="11013" max="11013" width="16.28515625" style="82" customWidth="1"/>
    <col min="11014" max="11014" width="14.7109375" style="82" customWidth="1"/>
    <col min="11015" max="11263" width="9.140625" style="82"/>
    <col min="11264" max="11264" width="16.85546875" style="82" customWidth="1"/>
    <col min="11265" max="11265" width="12.28515625" style="82" customWidth="1"/>
    <col min="11266" max="11266" width="42.5703125" style="82" customWidth="1"/>
    <col min="11267" max="11267" width="19.5703125" style="82" customWidth="1"/>
    <col min="11268" max="11268" width="13" style="82" bestFit="1" customWidth="1"/>
    <col min="11269" max="11269" width="16.28515625" style="82" customWidth="1"/>
    <col min="11270" max="11270" width="14.7109375" style="82" customWidth="1"/>
    <col min="11271" max="11519" width="9.140625" style="82"/>
    <col min="11520" max="11520" width="16.85546875" style="82" customWidth="1"/>
    <col min="11521" max="11521" width="12.28515625" style="82" customWidth="1"/>
    <col min="11522" max="11522" width="42.5703125" style="82" customWidth="1"/>
    <col min="11523" max="11523" width="19.5703125" style="82" customWidth="1"/>
    <col min="11524" max="11524" width="13" style="82" bestFit="1" customWidth="1"/>
    <col min="11525" max="11525" width="16.28515625" style="82" customWidth="1"/>
    <col min="11526" max="11526" width="14.7109375" style="82" customWidth="1"/>
    <col min="11527" max="11775" width="9.140625" style="82"/>
    <col min="11776" max="11776" width="16.85546875" style="82" customWidth="1"/>
    <col min="11777" max="11777" width="12.28515625" style="82" customWidth="1"/>
    <col min="11778" max="11778" width="42.5703125" style="82" customWidth="1"/>
    <col min="11779" max="11779" width="19.5703125" style="82" customWidth="1"/>
    <col min="11780" max="11780" width="13" style="82" bestFit="1" customWidth="1"/>
    <col min="11781" max="11781" width="16.28515625" style="82" customWidth="1"/>
    <col min="11782" max="11782" width="14.7109375" style="82" customWidth="1"/>
    <col min="11783" max="12031" width="9.140625" style="82"/>
    <col min="12032" max="12032" width="16.85546875" style="82" customWidth="1"/>
    <col min="12033" max="12033" width="12.28515625" style="82" customWidth="1"/>
    <col min="12034" max="12034" width="42.5703125" style="82" customWidth="1"/>
    <col min="12035" max="12035" width="19.5703125" style="82" customWidth="1"/>
    <col min="12036" max="12036" width="13" style="82" bestFit="1" customWidth="1"/>
    <col min="12037" max="12037" width="16.28515625" style="82" customWidth="1"/>
    <col min="12038" max="12038" width="14.7109375" style="82" customWidth="1"/>
    <col min="12039" max="12287" width="9.140625" style="82"/>
    <col min="12288" max="12288" width="16.85546875" style="82" customWidth="1"/>
    <col min="12289" max="12289" width="12.28515625" style="82" customWidth="1"/>
    <col min="12290" max="12290" width="42.5703125" style="82" customWidth="1"/>
    <col min="12291" max="12291" width="19.5703125" style="82" customWidth="1"/>
    <col min="12292" max="12292" width="13" style="82" bestFit="1" customWidth="1"/>
    <col min="12293" max="12293" width="16.28515625" style="82" customWidth="1"/>
    <col min="12294" max="12294" width="14.7109375" style="82" customWidth="1"/>
    <col min="12295" max="12543" width="9.140625" style="82"/>
    <col min="12544" max="12544" width="16.85546875" style="82" customWidth="1"/>
    <col min="12545" max="12545" width="12.28515625" style="82" customWidth="1"/>
    <col min="12546" max="12546" width="42.5703125" style="82" customWidth="1"/>
    <col min="12547" max="12547" width="19.5703125" style="82" customWidth="1"/>
    <col min="12548" max="12548" width="13" style="82" bestFit="1" customWidth="1"/>
    <col min="12549" max="12549" width="16.28515625" style="82" customWidth="1"/>
    <col min="12550" max="12550" width="14.7109375" style="82" customWidth="1"/>
    <col min="12551" max="12799" width="9.140625" style="82"/>
    <col min="12800" max="12800" width="16.85546875" style="82" customWidth="1"/>
    <col min="12801" max="12801" width="12.28515625" style="82" customWidth="1"/>
    <col min="12802" max="12802" width="42.5703125" style="82" customWidth="1"/>
    <col min="12803" max="12803" width="19.5703125" style="82" customWidth="1"/>
    <col min="12804" max="12804" width="13" style="82" bestFit="1" customWidth="1"/>
    <col min="12805" max="12805" width="16.28515625" style="82" customWidth="1"/>
    <col min="12806" max="12806" width="14.7109375" style="82" customWidth="1"/>
    <col min="12807" max="13055" width="9.140625" style="82"/>
    <col min="13056" max="13056" width="16.85546875" style="82" customWidth="1"/>
    <col min="13057" max="13057" width="12.28515625" style="82" customWidth="1"/>
    <col min="13058" max="13058" width="42.5703125" style="82" customWidth="1"/>
    <col min="13059" max="13059" width="19.5703125" style="82" customWidth="1"/>
    <col min="13060" max="13060" width="13" style="82" bestFit="1" customWidth="1"/>
    <col min="13061" max="13061" width="16.28515625" style="82" customWidth="1"/>
    <col min="13062" max="13062" width="14.7109375" style="82" customWidth="1"/>
    <col min="13063" max="13311" width="9.140625" style="82"/>
    <col min="13312" max="13312" width="16.85546875" style="82" customWidth="1"/>
    <col min="13313" max="13313" width="12.28515625" style="82" customWidth="1"/>
    <col min="13314" max="13314" width="42.5703125" style="82" customWidth="1"/>
    <col min="13315" max="13315" width="19.5703125" style="82" customWidth="1"/>
    <col min="13316" max="13316" width="13" style="82" bestFit="1" customWidth="1"/>
    <col min="13317" max="13317" width="16.28515625" style="82" customWidth="1"/>
    <col min="13318" max="13318" width="14.7109375" style="82" customWidth="1"/>
    <col min="13319" max="13567" width="9.140625" style="82"/>
    <col min="13568" max="13568" width="16.85546875" style="82" customWidth="1"/>
    <col min="13569" max="13569" width="12.28515625" style="82" customWidth="1"/>
    <col min="13570" max="13570" width="42.5703125" style="82" customWidth="1"/>
    <col min="13571" max="13571" width="19.5703125" style="82" customWidth="1"/>
    <col min="13572" max="13572" width="13" style="82" bestFit="1" customWidth="1"/>
    <col min="13573" max="13573" width="16.28515625" style="82" customWidth="1"/>
    <col min="13574" max="13574" width="14.7109375" style="82" customWidth="1"/>
    <col min="13575" max="13823" width="9.140625" style="82"/>
    <col min="13824" max="13824" width="16.85546875" style="82" customWidth="1"/>
    <col min="13825" max="13825" width="12.28515625" style="82" customWidth="1"/>
    <col min="13826" max="13826" width="42.5703125" style="82" customWidth="1"/>
    <col min="13827" max="13827" width="19.5703125" style="82" customWidth="1"/>
    <col min="13828" max="13828" width="13" style="82" bestFit="1" customWidth="1"/>
    <col min="13829" max="13829" width="16.28515625" style="82" customWidth="1"/>
    <col min="13830" max="13830" width="14.7109375" style="82" customWidth="1"/>
    <col min="13831" max="14079" width="9.140625" style="82"/>
    <col min="14080" max="14080" width="16.85546875" style="82" customWidth="1"/>
    <col min="14081" max="14081" width="12.28515625" style="82" customWidth="1"/>
    <col min="14082" max="14082" width="42.5703125" style="82" customWidth="1"/>
    <col min="14083" max="14083" width="19.5703125" style="82" customWidth="1"/>
    <col min="14084" max="14084" width="13" style="82" bestFit="1" customWidth="1"/>
    <col min="14085" max="14085" width="16.28515625" style="82" customWidth="1"/>
    <col min="14086" max="14086" width="14.7109375" style="82" customWidth="1"/>
    <col min="14087" max="14335" width="9.140625" style="82"/>
    <col min="14336" max="14336" width="16.85546875" style="82" customWidth="1"/>
    <col min="14337" max="14337" width="12.28515625" style="82" customWidth="1"/>
    <col min="14338" max="14338" width="42.5703125" style="82" customWidth="1"/>
    <col min="14339" max="14339" width="19.5703125" style="82" customWidth="1"/>
    <col min="14340" max="14340" width="13" style="82" bestFit="1" customWidth="1"/>
    <col min="14341" max="14341" width="16.28515625" style="82" customWidth="1"/>
    <col min="14342" max="14342" width="14.7109375" style="82" customWidth="1"/>
    <col min="14343" max="14591" width="9.140625" style="82"/>
    <col min="14592" max="14592" width="16.85546875" style="82" customWidth="1"/>
    <col min="14593" max="14593" width="12.28515625" style="82" customWidth="1"/>
    <col min="14594" max="14594" width="42.5703125" style="82" customWidth="1"/>
    <col min="14595" max="14595" width="19.5703125" style="82" customWidth="1"/>
    <col min="14596" max="14596" width="13" style="82" bestFit="1" customWidth="1"/>
    <col min="14597" max="14597" width="16.28515625" style="82" customWidth="1"/>
    <col min="14598" max="14598" width="14.7109375" style="82" customWidth="1"/>
    <col min="14599" max="14847" width="9.140625" style="82"/>
    <col min="14848" max="14848" width="16.85546875" style="82" customWidth="1"/>
    <col min="14849" max="14849" width="12.28515625" style="82" customWidth="1"/>
    <col min="14850" max="14850" width="42.5703125" style="82" customWidth="1"/>
    <col min="14851" max="14851" width="19.5703125" style="82" customWidth="1"/>
    <col min="14852" max="14852" width="13" style="82" bestFit="1" customWidth="1"/>
    <col min="14853" max="14853" width="16.28515625" style="82" customWidth="1"/>
    <col min="14854" max="14854" width="14.7109375" style="82" customWidth="1"/>
    <col min="14855" max="15103" width="9.140625" style="82"/>
    <col min="15104" max="15104" width="16.85546875" style="82" customWidth="1"/>
    <col min="15105" max="15105" width="12.28515625" style="82" customWidth="1"/>
    <col min="15106" max="15106" width="42.5703125" style="82" customWidth="1"/>
    <col min="15107" max="15107" width="19.5703125" style="82" customWidth="1"/>
    <col min="15108" max="15108" width="13" style="82" bestFit="1" customWidth="1"/>
    <col min="15109" max="15109" width="16.28515625" style="82" customWidth="1"/>
    <col min="15110" max="15110" width="14.7109375" style="82" customWidth="1"/>
    <col min="15111" max="15359" width="9.140625" style="82"/>
    <col min="15360" max="15360" width="16.85546875" style="82" customWidth="1"/>
    <col min="15361" max="15361" width="12.28515625" style="82" customWidth="1"/>
    <col min="15362" max="15362" width="42.5703125" style="82" customWidth="1"/>
    <col min="15363" max="15363" width="19.5703125" style="82" customWidth="1"/>
    <col min="15364" max="15364" width="13" style="82" bestFit="1" customWidth="1"/>
    <col min="15365" max="15365" width="16.28515625" style="82" customWidth="1"/>
    <col min="15366" max="15366" width="14.7109375" style="82" customWidth="1"/>
    <col min="15367" max="15615" width="9.140625" style="82"/>
    <col min="15616" max="15616" width="16.85546875" style="82" customWidth="1"/>
    <col min="15617" max="15617" width="12.28515625" style="82" customWidth="1"/>
    <col min="15618" max="15618" width="42.5703125" style="82" customWidth="1"/>
    <col min="15619" max="15619" width="19.5703125" style="82" customWidth="1"/>
    <col min="15620" max="15620" width="13" style="82" bestFit="1" customWidth="1"/>
    <col min="15621" max="15621" width="16.28515625" style="82" customWidth="1"/>
    <col min="15622" max="15622" width="14.7109375" style="82" customWidth="1"/>
    <col min="15623" max="15871" width="9.140625" style="82"/>
    <col min="15872" max="15872" width="16.85546875" style="82" customWidth="1"/>
    <col min="15873" max="15873" width="12.28515625" style="82" customWidth="1"/>
    <col min="15874" max="15874" width="42.5703125" style="82" customWidth="1"/>
    <col min="15875" max="15875" width="19.5703125" style="82" customWidth="1"/>
    <col min="15876" max="15876" width="13" style="82" bestFit="1" customWidth="1"/>
    <col min="15877" max="15877" width="16.28515625" style="82" customWidth="1"/>
    <col min="15878" max="15878" width="14.7109375" style="82" customWidth="1"/>
    <col min="15879" max="16127" width="9.140625" style="82"/>
    <col min="16128" max="16128" width="16.85546875" style="82" customWidth="1"/>
    <col min="16129" max="16129" width="12.28515625" style="82" customWidth="1"/>
    <col min="16130" max="16130" width="42.5703125" style="82" customWidth="1"/>
    <col min="16131" max="16131" width="19.5703125" style="82" customWidth="1"/>
    <col min="16132" max="16132" width="13" style="82" bestFit="1" customWidth="1"/>
    <col min="16133" max="16133" width="16.28515625" style="82" customWidth="1"/>
    <col min="16134" max="16134" width="14.7109375" style="82" customWidth="1"/>
    <col min="16135" max="16384" width="9.140625" style="82"/>
  </cols>
  <sheetData>
    <row r="1" spans="1:7" ht="5.0999999999999996" customHeight="1">
      <c r="A1" s="183"/>
      <c r="B1" s="184"/>
      <c r="C1" s="184"/>
      <c r="D1" s="184"/>
      <c r="E1" s="184"/>
      <c r="F1" s="184"/>
      <c r="G1" s="184"/>
    </row>
    <row r="2" spans="1:7" ht="12" customHeight="1">
      <c r="A2" s="185" t="s">
        <v>268</v>
      </c>
      <c r="B2" s="186"/>
      <c r="C2" s="186"/>
      <c r="D2" s="186"/>
      <c r="E2" s="186"/>
      <c r="F2" s="186"/>
      <c r="G2" s="186"/>
    </row>
    <row r="3" spans="1:7" ht="12" customHeight="1">
      <c r="A3" s="159" t="s">
        <v>269</v>
      </c>
      <c r="B3" s="160"/>
      <c r="C3" s="160"/>
      <c r="D3" s="160"/>
      <c r="E3" s="160"/>
      <c r="F3" s="160"/>
      <c r="G3" s="160"/>
    </row>
    <row r="4" spans="1:7" ht="12" customHeight="1">
      <c r="A4" s="187" t="s">
        <v>270</v>
      </c>
      <c r="B4" s="188"/>
      <c r="C4" s="188"/>
      <c r="D4" s="188"/>
      <c r="E4" s="188"/>
      <c r="F4" s="188"/>
      <c r="G4" s="188"/>
    </row>
    <row r="5" spans="1:7" ht="12" customHeight="1">
      <c r="A5" s="159" t="s">
        <v>15</v>
      </c>
      <c r="B5" s="160"/>
      <c r="C5" s="160"/>
      <c r="D5" s="160"/>
      <c r="E5" s="160"/>
      <c r="F5" s="160"/>
      <c r="G5" s="160"/>
    </row>
    <row r="6" spans="1:7" ht="12" customHeight="1">
      <c r="A6" s="159" t="s">
        <v>271</v>
      </c>
      <c r="B6" s="160"/>
      <c r="C6" s="160"/>
      <c r="D6" s="160"/>
      <c r="E6" s="160"/>
      <c r="F6" s="160"/>
      <c r="G6" s="160"/>
    </row>
    <row r="7" spans="1:7" ht="12" customHeight="1">
      <c r="A7" s="159" t="s">
        <v>272</v>
      </c>
      <c r="B7" s="160"/>
      <c r="C7" s="160"/>
      <c r="D7" s="160"/>
      <c r="E7" s="160"/>
      <c r="F7" s="160"/>
      <c r="G7" s="160"/>
    </row>
    <row r="8" spans="1:7" ht="5.0999999999999996" customHeight="1">
      <c r="A8" s="175"/>
      <c r="B8" s="176"/>
      <c r="C8" s="176"/>
      <c r="D8" s="176"/>
      <c r="E8" s="176"/>
      <c r="F8" s="176"/>
      <c r="G8" s="176"/>
    </row>
    <row r="9" spans="1:7" ht="27.95" customHeight="1">
      <c r="A9" s="177" t="s">
        <v>288</v>
      </c>
      <c r="B9" s="177"/>
      <c r="C9" s="177"/>
      <c r="D9" s="178" t="s">
        <v>289</v>
      </c>
      <c r="E9" s="178"/>
      <c r="F9" s="178"/>
      <c r="G9" s="178"/>
    </row>
    <row r="10" spans="1:7">
      <c r="A10" s="179" t="s">
        <v>290</v>
      </c>
      <c r="B10" s="180"/>
      <c r="C10" s="180"/>
      <c r="D10" s="180"/>
      <c r="E10" s="180"/>
      <c r="F10" s="180"/>
      <c r="G10" s="181"/>
    </row>
    <row r="11" spans="1:7" ht="6" customHeight="1">
      <c r="A11" s="182"/>
      <c r="B11" s="182"/>
      <c r="C11" s="182"/>
      <c r="D11" s="182"/>
      <c r="E11" s="83"/>
      <c r="F11" s="84"/>
      <c r="G11" s="84"/>
    </row>
    <row r="12" spans="1:7" ht="3.95" customHeight="1">
      <c r="A12" s="191" t="s">
        <v>396</v>
      </c>
      <c r="B12" s="191"/>
      <c r="C12" s="191"/>
      <c r="D12" s="191"/>
      <c r="E12" s="191"/>
      <c r="F12" s="191"/>
      <c r="G12" s="191"/>
    </row>
    <row r="13" spans="1:7" ht="3.95" customHeight="1">
      <c r="A13" s="191"/>
      <c r="B13" s="191"/>
      <c r="C13" s="191"/>
      <c r="D13" s="191"/>
      <c r="E13" s="191"/>
      <c r="F13" s="191"/>
      <c r="G13" s="191"/>
    </row>
    <row r="14" spans="1:7" ht="3.95" customHeight="1">
      <c r="A14" s="191"/>
      <c r="B14" s="191"/>
      <c r="C14" s="191"/>
      <c r="D14" s="191"/>
      <c r="E14" s="191"/>
      <c r="F14" s="191"/>
      <c r="G14" s="191"/>
    </row>
    <row r="15" spans="1:7" ht="12" customHeight="1">
      <c r="A15" s="192" t="s">
        <v>321</v>
      </c>
      <c r="B15" s="192"/>
      <c r="C15" s="192"/>
      <c r="D15" s="192"/>
      <c r="E15" s="192"/>
      <c r="F15" s="192"/>
      <c r="G15" s="192"/>
    </row>
    <row r="16" spans="1:7" ht="19.5" customHeight="1">
      <c r="A16" s="161" t="s">
        <v>273</v>
      </c>
      <c r="B16" s="215"/>
      <c r="C16" s="215"/>
      <c r="D16" s="215"/>
      <c r="E16" s="215"/>
      <c r="F16" s="215"/>
      <c r="G16" s="215"/>
    </row>
    <row r="17" spans="1:9" ht="31.5">
      <c r="A17" s="85" t="s">
        <v>274</v>
      </c>
      <c r="B17" s="86" t="s">
        <v>275</v>
      </c>
      <c r="C17" s="86" t="s">
        <v>276</v>
      </c>
      <c r="D17" s="86" t="s">
        <v>277</v>
      </c>
      <c r="E17" s="86" t="s">
        <v>278</v>
      </c>
      <c r="F17" s="87" t="s">
        <v>311</v>
      </c>
      <c r="G17" s="87" t="s">
        <v>279</v>
      </c>
    </row>
    <row r="18" spans="1:9">
      <c r="A18" s="88" t="s">
        <v>298</v>
      </c>
      <c r="B18" s="89" t="s">
        <v>283</v>
      </c>
      <c r="C18" s="90" t="s">
        <v>291</v>
      </c>
      <c r="D18" s="91" t="s">
        <v>280</v>
      </c>
      <c r="E18" s="110">
        <v>3.0000000000000001E-3</v>
      </c>
      <c r="F18" s="92">
        <v>8.92</v>
      </c>
      <c r="G18" s="93">
        <f>ROUNDUP(E18*F18,2)</f>
        <v>0.03</v>
      </c>
      <c r="I18" s="113"/>
    </row>
    <row r="19" spans="1:9">
      <c r="A19" s="88" t="s">
        <v>299</v>
      </c>
      <c r="B19" s="89" t="s">
        <v>283</v>
      </c>
      <c r="C19" s="90" t="s">
        <v>292</v>
      </c>
      <c r="D19" s="91" t="s">
        <v>280</v>
      </c>
      <c r="E19" s="110">
        <v>0.124</v>
      </c>
      <c r="F19" s="92">
        <v>10.86</v>
      </c>
      <c r="G19" s="93">
        <f>ROUNDUP(E19*F19,2)</f>
        <v>1.35</v>
      </c>
      <c r="I19" s="113"/>
    </row>
    <row r="20" spans="1:9">
      <c r="A20" s="88" t="s">
        <v>300</v>
      </c>
      <c r="B20" s="89" t="s">
        <v>283</v>
      </c>
      <c r="C20" s="90" t="s">
        <v>293</v>
      </c>
      <c r="D20" s="91" t="s">
        <v>280</v>
      </c>
      <c r="E20" s="110">
        <v>0.124</v>
      </c>
      <c r="F20" s="92">
        <v>8.92</v>
      </c>
      <c r="G20" s="93">
        <f>ROUNDUP(E20*F20,2)</f>
        <v>1.1100000000000001</v>
      </c>
      <c r="I20" s="113"/>
    </row>
    <row r="21" spans="1:9">
      <c r="A21" s="88" t="s">
        <v>301</v>
      </c>
      <c r="B21" s="89" t="s">
        <v>283</v>
      </c>
      <c r="C21" s="90" t="s">
        <v>294</v>
      </c>
      <c r="D21" s="91" t="s">
        <v>280</v>
      </c>
      <c r="E21" s="110">
        <v>2.5999999999999999E-2</v>
      </c>
      <c r="F21" s="92">
        <v>10.86</v>
      </c>
      <c r="G21" s="93">
        <f>ROUNDDOWN(E21*F21,2)</f>
        <v>0.28000000000000003</v>
      </c>
      <c r="I21" s="113"/>
    </row>
    <row r="22" spans="1:9">
      <c r="A22" s="88" t="s">
        <v>302</v>
      </c>
      <c r="B22" s="89" t="s">
        <v>283</v>
      </c>
      <c r="C22" s="90" t="s">
        <v>295</v>
      </c>
      <c r="D22" s="91" t="s">
        <v>280</v>
      </c>
      <c r="E22" s="110">
        <v>0.5</v>
      </c>
      <c r="F22" s="92">
        <v>14.27</v>
      </c>
      <c r="G22" s="93">
        <f>ROUNDDOWN(E22*F22,2)</f>
        <v>7.13</v>
      </c>
      <c r="I22" s="113"/>
    </row>
    <row r="23" spans="1:9">
      <c r="A23" s="88" t="s">
        <v>303</v>
      </c>
      <c r="B23" s="89" t="s">
        <v>283</v>
      </c>
      <c r="C23" s="90" t="s">
        <v>296</v>
      </c>
      <c r="D23" s="91" t="s">
        <v>280</v>
      </c>
      <c r="E23" s="110">
        <v>0.5</v>
      </c>
      <c r="F23" s="92">
        <v>8.92</v>
      </c>
      <c r="G23" s="93">
        <f>ROUNDDOWN(E23*F23,2)</f>
        <v>4.46</v>
      </c>
      <c r="I23" s="113"/>
    </row>
    <row r="24" spans="1:9">
      <c r="A24" s="88" t="s">
        <v>304</v>
      </c>
      <c r="B24" s="89" t="s">
        <v>283</v>
      </c>
      <c r="C24" s="90" t="s">
        <v>297</v>
      </c>
      <c r="D24" s="91" t="s">
        <v>280</v>
      </c>
      <c r="E24" s="110">
        <v>0.33700000000000002</v>
      </c>
      <c r="F24" s="92">
        <v>8.92</v>
      </c>
      <c r="G24" s="93">
        <f>ROUNDDOWN(E24*F24,2)</f>
        <v>3</v>
      </c>
      <c r="I24" s="113"/>
    </row>
    <row r="25" spans="1:9">
      <c r="A25" s="195" t="s">
        <v>281</v>
      </c>
      <c r="B25" s="196"/>
      <c r="C25" s="196"/>
      <c r="D25" s="196"/>
      <c r="E25" s="196"/>
      <c r="F25" s="196"/>
      <c r="G25" s="94">
        <f>SUM(G18:G24)</f>
        <v>17.36</v>
      </c>
    </row>
    <row r="26" spans="1:9" ht="5.0999999999999996" customHeight="1">
      <c r="A26" s="95"/>
      <c r="B26" s="96"/>
      <c r="C26" s="96"/>
      <c r="D26" s="97"/>
      <c r="E26" s="97"/>
      <c r="F26" s="96"/>
      <c r="G26" s="98"/>
    </row>
    <row r="27" spans="1:9">
      <c r="A27" s="193" t="s">
        <v>282</v>
      </c>
      <c r="B27" s="194"/>
      <c r="C27" s="194"/>
      <c r="D27" s="194"/>
      <c r="E27" s="194"/>
      <c r="F27" s="194"/>
      <c r="G27" s="197"/>
    </row>
    <row r="28" spans="1:9" ht="54" customHeight="1">
      <c r="A28" s="86" t="s">
        <v>310</v>
      </c>
      <c r="B28" s="86" t="s">
        <v>313</v>
      </c>
      <c r="C28" s="161" t="s">
        <v>232</v>
      </c>
      <c r="D28" s="162"/>
      <c r="E28" s="87" t="s">
        <v>312</v>
      </c>
      <c r="F28" s="87" t="s">
        <v>277</v>
      </c>
      <c r="G28" s="87" t="s">
        <v>325</v>
      </c>
    </row>
    <row r="29" spans="1:9" ht="49.5" customHeight="1">
      <c r="A29" s="111" t="s">
        <v>390</v>
      </c>
      <c r="B29" s="112" t="s">
        <v>391</v>
      </c>
      <c r="C29" s="163" t="s">
        <v>321</v>
      </c>
      <c r="D29" s="164"/>
      <c r="E29" s="93">
        <f>6838+4400</f>
        <v>11238</v>
      </c>
      <c r="F29" s="93" t="s">
        <v>5</v>
      </c>
      <c r="G29" s="93">
        <f>ROUNDDOWN(E29/104.26,2)</f>
        <v>107.78</v>
      </c>
      <c r="I29" s="99"/>
    </row>
    <row r="30" spans="1:9" ht="30">
      <c r="A30" s="111" t="s">
        <v>408</v>
      </c>
      <c r="B30" s="112" t="s">
        <v>409</v>
      </c>
      <c r="C30" s="165"/>
      <c r="D30" s="166"/>
      <c r="E30" s="93">
        <f>6435+4800</f>
        <v>11235</v>
      </c>
      <c r="F30" s="93" t="s">
        <v>5</v>
      </c>
      <c r="G30" s="93">
        <f>ROUNDUP(E30/104.26,2)</f>
        <v>107.76</v>
      </c>
      <c r="I30" s="99"/>
    </row>
    <row r="31" spans="1:9" ht="30">
      <c r="A31" s="111" t="s">
        <v>315</v>
      </c>
      <c r="B31" s="112" t="s">
        <v>316</v>
      </c>
      <c r="C31" s="167"/>
      <c r="D31" s="168"/>
      <c r="E31" s="93">
        <f>5763.94+4870.4</f>
        <v>10634.34</v>
      </c>
      <c r="F31" s="93" t="s">
        <v>5</v>
      </c>
      <c r="G31" s="93">
        <f>ROUNDDOWN(E31/104.26,2)</f>
        <v>101.99</v>
      </c>
      <c r="I31" s="99"/>
    </row>
    <row r="32" spans="1:9" ht="39" customHeight="1">
      <c r="A32" s="211" t="s">
        <v>326</v>
      </c>
      <c r="B32" s="212"/>
      <c r="C32" s="212"/>
      <c r="D32" s="212"/>
      <c r="E32" s="212"/>
      <c r="F32" s="213"/>
      <c r="G32" s="114">
        <f>AVERAGE(G29:G31)</f>
        <v>105.84333333333335</v>
      </c>
    </row>
    <row r="33" spans="1:8" ht="12.95" customHeight="1">
      <c r="A33" s="214" t="s">
        <v>392</v>
      </c>
      <c r="B33" s="214"/>
      <c r="C33" s="214"/>
      <c r="D33" s="200" t="s">
        <v>284</v>
      </c>
      <c r="E33" s="201"/>
      <c r="F33" s="202"/>
      <c r="G33" s="100">
        <f>G25</f>
        <v>17.36</v>
      </c>
    </row>
    <row r="34" spans="1:8" ht="12.95" customHeight="1">
      <c r="A34" s="214"/>
      <c r="B34" s="214"/>
      <c r="C34" s="214"/>
      <c r="D34" s="203" t="s">
        <v>305</v>
      </c>
      <c r="E34" s="204"/>
      <c r="F34" s="205"/>
      <c r="G34" s="101">
        <v>0.9778</v>
      </c>
      <c r="H34" s="102"/>
    </row>
    <row r="35" spans="1:8" ht="12.95" customHeight="1">
      <c r="A35" s="214"/>
      <c r="B35" s="214"/>
      <c r="C35" s="214"/>
      <c r="D35" s="206" t="s">
        <v>285</v>
      </c>
      <c r="E35" s="207"/>
      <c r="F35" s="208"/>
      <c r="G35" s="92">
        <f>ROUNDDOWN((G33+G33*G34),2)</f>
        <v>34.33</v>
      </c>
    </row>
    <row r="36" spans="1:8" ht="12.95" customHeight="1">
      <c r="A36" s="214"/>
      <c r="B36" s="214"/>
      <c r="C36" s="214"/>
      <c r="D36" s="206" t="s">
        <v>286</v>
      </c>
      <c r="E36" s="207"/>
      <c r="F36" s="208"/>
      <c r="G36" s="100">
        <f>G32</f>
        <v>105.84333333333335</v>
      </c>
    </row>
    <row r="37" spans="1:8" ht="12.95" customHeight="1">
      <c r="A37" s="214"/>
      <c r="B37" s="214"/>
      <c r="C37" s="214"/>
      <c r="D37" s="195" t="s">
        <v>416</v>
      </c>
      <c r="E37" s="196"/>
      <c r="F37" s="209"/>
      <c r="G37" s="103">
        <f>G35+G36</f>
        <v>140.17333333333335</v>
      </c>
    </row>
    <row r="38" spans="1:8" s="104" customFormat="1">
      <c r="C38" s="105"/>
      <c r="D38" s="106"/>
      <c r="E38" s="106"/>
      <c r="F38" s="106"/>
      <c r="G38" s="107"/>
    </row>
    <row r="39" spans="1:8" s="104" customFormat="1">
      <c r="C39" s="105"/>
      <c r="D39" s="106"/>
      <c r="E39" s="106"/>
      <c r="F39" s="106"/>
      <c r="G39" s="107"/>
    </row>
    <row r="40" spans="1:8">
      <c r="A40" s="198" t="s">
        <v>411</v>
      </c>
      <c r="B40" s="198"/>
      <c r="C40" s="198"/>
      <c r="D40" s="198"/>
      <c r="E40" s="198"/>
      <c r="F40" s="198"/>
      <c r="G40" s="198"/>
    </row>
    <row r="42" spans="1:8">
      <c r="A42" s="198" t="s">
        <v>287</v>
      </c>
      <c r="B42" s="198"/>
      <c r="C42" s="198"/>
      <c r="D42" s="198"/>
      <c r="E42" s="198"/>
      <c r="F42" s="198"/>
      <c r="G42" s="198"/>
    </row>
    <row r="43" spans="1:8">
      <c r="A43" s="199" t="s">
        <v>398</v>
      </c>
      <c r="B43" s="198"/>
      <c r="C43" s="198"/>
      <c r="D43" s="198"/>
      <c r="E43" s="198"/>
      <c r="F43" s="198"/>
      <c r="G43" s="198"/>
    </row>
    <row r="44" spans="1:8">
      <c r="A44" s="198" t="s">
        <v>399</v>
      </c>
      <c r="B44" s="198"/>
      <c r="C44" s="198"/>
      <c r="D44" s="198"/>
      <c r="E44" s="198"/>
      <c r="F44" s="198"/>
      <c r="G44" s="198"/>
    </row>
  </sheetData>
  <mergeCells count="30">
    <mergeCell ref="A11:D11"/>
    <mergeCell ref="A1:G1"/>
    <mergeCell ref="A2:G2"/>
    <mergeCell ref="A3:G3"/>
    <mergeCell ref="A4:G4"/>
    <mergeCell ref="A5:G5"/>
    <mergeCell ref="A6:G6"/>
    <mergeCell ref="A7:G7"/>
    <mergeCell ref="A8:G8"/>
    <mergeCell ref="A9:C9"/>
    <mergeCell ref="D9:G9"/>
    <mergeCell ref="A10:G10"/>
    <mergeCell ref="C29:D31"/>
    <mergeCell ref="A12:G14"/>
    <mergeCell ref="A15:G15"/>
    <mergeCell ref="A16:G16"/>
    <mergeCell ref="A25:F25"/>
    <mergeCell ref="A27:G27"/>
    <mergeCell ref="C28:D28"/>
    <mergeCell ref="A40:G40"/>
    <mergeCell ref="A42:G42"/>
    <mergeCell ref="A43:G43"/>
    <mergeCell ref="A44:G44"/>
    <mergeCell ref="A32:F32"/>
    <mergeCell ref="A33:C37"/>
    <mergeCell ref="D33:F33"/>
    <mergeCell ref="D34:F34"/>
    <mergeCell ref="D35:F35"/>
    <mergeCell ref="D36:F36"/>
    <mergeCell ref="D37:F37"/>
  </mergeCells>
  <printOptions horizontalCentered="1" verticalCentered="1"/>
  <pageMargins left="0.31496062992125984" right="0.31496062992125984" top="0" bottom="0" header="0.31496062992125984" footer="0.31496062992125984"/>
  <pageSetup paperSize="9" scale="8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6"/>
  <sheetViews>
    <sheetView tabSelected="1" zoomScale="175" zoomScaleNormal="175" workbookViewId="0">
      <selection activeCell="C9" sqref="C9"/>
    </sheetView>
  </sheetViews>
  <sheetFormatPr defaultRowHeight="12"/>
  <cols>
    <col min="1" max="1" width="9.140625" style="1"/>
    <col min="2" max="2" width="10.85546875" style="1" customWidth="1"/>
    <col min="3" max="3" width="36.42578125" style="1" customWidth="1"/>
    <col min="4" max="4" width="19.140625" style="1" customWidth="1"/>
    <col min="5" max="8" width="6.7109375" style="1" customWidth="1"/>
    <col min="9" max="9" width="3.7109375" style="1" customWidth="1"/>
    <col min="10" max="16384" width="9.140625" style="1"/>
  </cols>
  <sheetData>
    <row r="1" spans="2:9" ht="12.95" customHeight="1">
      <c r="B1" s="149" t="s">
        <v>16</v>
      </c>
      <c r="C1" s="149"/>
      <c r="D1" s="149"/>
      <c r="E1" s="149"/>
      <c r="F1" s="149"/>
      <c r="G1" s="149"/>
      <c r="H1" s="149"/>
    </row>
    <row r="2" spans="2:9" ht="12.95" customHeight="1">
      <c r="B2" s="150" t="s">
        <v>14</v>
      </c>
      <c r="C2" s="150"/>
      <c r="D2" s="150"/>
      <c r="E2" s="150"/>
      <c r="F2" s="150"/>
      <c r="G2" s="150"/>
      <c r="H2" s="150"/>
    </row>
    <row r="3" spans="2:9" ht="12.95" customHeight="1">
      <c r="B3" s="151" t="s">
        <v>15</v>
      </c>
      <c r="C3" s="151"/>
      <c r="D3" s="151"/>
      <c r="E3" s="151"/>
      <c r="F3" s="151"/>
      <c r="G3" s="151"/>
      <c r="H3" s="151"/>
    </row>
    <row r="4" spans="2:9" ht="12.95" customHeight="1">
      <c r="B4" s="237" t="s">
        <v>59</v>
      </c>
      <c r="C4" s="237"/>
      <c r="D4" s="237"/>
      <c r="E4" s="237"/>
      <c r="F4" s="237"/>
      <c r="G4" s="237"/>
      <c r="H4" s="237"/>
    </row>
    <row r="5" spans="2:9" ht="24" customHeight="1">
      <c r="B5" s="76" t="s">
        <v>9</v>
      </c>
      <c r="C5" s="221" t="s">
        <v>264</v>
      </c>
      <c r="D5" s="221"/>
      <c r="E5" s="228" t="s">
        <v>11</v>
      </c>
      <c r="F5" s="230"/>
      <c r="G5" s="240">
        <v>45163</v>
      </c>
      <c r="H5" s="241"/>
    </row>
    <row r="6" spans="2:9" ht="11.1" customHeight="1">
      <c r="B6" s="77" t="s">
        <v>12</v>
      </c>
      <c r="C6" s="231" t="s">
        <v>247</v>
      </c>
      <c r="D6" s="232"/>
      <c r="E6" s="232"/>
      <c r="F6" s="232"/>
      <c r="G6" s="232"/>
      <c r="H6" s="233"/>
    </row>
    <row r="7" spans="2:9" ht="11.1" customHeight="1">
      <c r="B7" s="228" t="s">
        <v>412</v>
      </c>
      <c r="C7" s="229"/>
      <c r="D7" s="230"/>
      <c r="E7" s="228" t="s">
        <v>60</v>
      </c>
      <c r="F7" s="230"/>
      <c r="G7" s="238" t="s">
        <v>263</v>
      </c>
      <c r="H7" s="239"/>
    </row>
    <row r="8" spans="2:9" ht="5.0999999999999996" customHeight="1"/>
    <row r="9" spans="2:9">
      <c r="B9" s="32" t="s">
        <v>50</v>
      </c>
      <c r="C9" s="32" t="s">
        <v>51</v>
      </c>
      <c r="D9" s="32" t="s">
        <v>52</v>
      </c>
      <c r="E9" s="222" t="s">
        <v>53</v>
      </c>
      <c r="F9" s="223"/>
      <c r="G9" s="223"/>
      <c r="H9" s="224"/>
      <c r="I9" s="26"/>
    </row>
    <row r="10" spans="2:9" ht="9" customHeight="1">
      <c r="B10" s="216">
        <v>1</v>
      </c>
      <c r="C10" s="216" t="s">
        <v>228</v>
      </c>
      <c r="D10" s="218">
        <f>'PLANILHA ORÇAMENTÁRIA (2)'!H9</f>
        <v>640.70000000000005</v>
      </c>
      <c r="E10" s="35"/>
      <c r="F10" s="78"/>
      <c r="G10" s="78"/>
      <c r="H10" s="78"/>
      <c r="I10" s="41"/>
    </row>
    <row r="11" spans="2:9" ht="9" customHeight="1">
      <c r="B11" s="217"/>
      <c r="C11" s="217"/>
      <c r="D11" s="219"/>
      <c r="E11" s="220">
        <v>1</v>
      </c>
      <c r="F11" s="220"/>
      <c r="G11" s="220"/>
      <c r="H11" s="220"/>
      <c r="I11" s="42"/>
    </row>
    <row r="12" spans="2:9" ht="9" customHeight="1">
      <c r="B12" s="216">
        <v>2</v>
      </c>
      <c r="C12" s="216" t="s">
        <v>397</v>
      </c>
      <c r="D12" s="218">
        <f>'PLANILHA ORÇAMENTÁRIA (2)'!H11</f>
        <v>4063.52</v>
      </c>
      <c r="E12" s="35"/>
      <c r="F12" s="35"/>
      <c r="G12" s="78"/>
      <c r="H12" s="78"/>
      <c r="I12" s="41"/>
    </row>
    <row r="13" spans="2:9" ht="9" customHeight="1">
      <c r="B13" s="217"/>
      <c r="C13" s="217"/>
      <c r="D13" s="219"/>
      <c r="E13" s="220">
        <v>1</v>
      </c>
      <c r="F13" s="220"/>
      <c r="G13" s="220"/>
      <c r="H13" s="220"/>
      <c r="I13" s="42"/>
    </row>
    <row r="14" spans="2:9" ht="9" customHeight="1">
      <c r="B14" s="216">
        <v>3</v>
      </c>
      <c r="C14" s="216" t="s">
        <v>327</v>
      </c>
      <c r="D14" s="218">
        <f>'PLANILHA ORÇAMENTÁRIA (2)'!H19</f>
        <v>1332.56</v>
      </c>
      <c r="E14" s="78"/>
      <c r="F14" s="78"/>
      <c r="G14" s="35"/>
      <c r="H14" s="35"/>
      <c r="I14" s="41"/>
    </row>
    <row r="15" spans="2:9" ht="9" customHeight="1">
      <c r="B15" s="217"/>
      <c r="C15" s="217"/>
      <c r="D15" s="219"/>
      <c r="E15" s="220">
        <v>1</v>
      </c>
      <c r="F15" s="220"/>
      <c r="G15" s="220"/>
      <c r="H15" s="220"/>
      <c r="I15" s="42"/>
    </row>
    <row r="16" spans="2:9" ht="9" customHeight="1">
      <c r="B16" s="216">
        <v>4</v>
      </c>
      <c r="C16" s="216" t="s">
        <v>248</v>
      </c>
      <c r="D16" s="218">
        <f>'PLANILHA ORÇAMENTÁRIA (2)'!H22</f>
        <v>29107.15</v>
      </c>
      <c r="E16" s="78"/>
      <c r="F16" s="78"/>
      <c r="G16" s="35"/>
      <c r="H16" s="35"/>
      <c r="I16" s="42"/>
    </row>
    <row r="17" spans="2:9" ht="9" customHeight="1">
      <c r="B17" s="217"/>
      <c r="C17" s="217"/>
      <c r="D17" s="219"/>
      <c r="E17" s="220">
        <v>1</v>
      </c>
      <c r="F17" s="220"/>
      <c r="G17" s="220"/>
      <c r="H17" s="220"/>
      <c r="I17" s="42"/>
    </row>
    <row r="18" spans="2:9" ht="9" customHeight="1">
      <c r="B18" s="216">
        <v>5</v>
      </c>
      <c r="C18" s="216" t="s">
        <v>249</v>
      </c>
      <c r="D18" s="218">
        <f>'PLANILHA ORÇAMENTÁRIA (2)'!H27</f>
        <v>466.46999999999997</v>
      </c>
      <c r="E18" s="78"/>
      <c r="F18" s="78"/>
      <c r="G18" s="35"/>
      <c r="H18" s="35"/>
      <c r="I18" s="41"/>
    </row>
    <row r="19" spans="2:9" ht="9" customHeight="1">
      <c r="B19" s="217"/>
      <c r="C19" s="217"/>
      <c r="D19" s="219"/>
      <c r="E19" s="220">
        <v>1</v>
      </c>
      <c r="F19" s="220"/>
      <c r="G19" s="220"/>
      <c r="H19" s="220"/>
      <c r="I19" s="42"/>
    </row>
    <row r="20" spans="2:9" ht="9" customHeight="1">
      <c r="B20" s="216">
        <v>6</v>
      </c>
      <c r="C20" s="216" t="s">
        <v>27</v>
      </c>
      <c r="D20" s="218">
        <f>'PLANILHA ORÇAMENTÁRIA (2)'!H29</f>
        <v>4247.55</v>
      </c>
      <c r="E20" s="78"/>
      <c r="F20" s="78"/>
      <c r="G20" s="35"/>
      <c r="H20" s="35"/>
      <c r="I20" s="42"/>
    </row>
    <row r="21" spans="2:9" ht="9" customHeight="1">
      <c r="B21" s="217"/>
      <c r="C21" s="217"/>
      <c r="D21" s="219"/>
      <c r="E21" s="220">
        <v>1</v>
      </c>
      <c r="F21" s="220"/>
      <c r="G21" s="220"/>
      <c r="H21" s="220"/>
      <c r="I21" s="42"/>
    </row>
    <row r="22" spans="2:9" ht="9" customHeight="1">
      <c r="B22" s="236" t="s">
        <v>41</v>
      </c>
      <c r="C22" s="236"/>
      <c r="D22" s="61">
        <f>SUM(D10:D21)</f>
        <v>39857.950000000004</v>
      </c>
      <c r="E22" s="226"/>
      <c r="F22" s="227"/>
      <c r="G22" s="227"/>
      <c r="H22" s="227"/>
    </row>
    <row r="23" spans="2:9">
      <c r="D23" s="20" t="s">
        <v>55</v>
      </c>
      <c r="E23" s="225">
        <f>E26/D22</f>
        <v>1</v>
      </c>
      <c r="F23" s="225"/>
      <c r="G23" s="225"/>
      <c r="H23" s="225"/>
      <c r="I23" s="43"/>
    </row>
    <row r="24" spans="2:9">
      <c r="D24" s="20" t="s">
        <v>56</v>
      </c>
      <c r="E24" s="225">
        <f>E23</f>
        <v>1</v>
      </c>
      <c r="F24" s="235"/>
      <c r="G24" s="235"/>
      <c r="H24" s="235"/>
      <c r="I24" s="26"/>
    </row>
    <row r="25" spans="2:9">
      <c r="D25" s="20" t="s">
        <v>57</v>
      </c>
      <c r="E25" s="234">
        <f>E11*$D$10+E13*$D$12+E15*$D$14+E17*$D$16+E19*$D$18+D20*$E$21</f>
        <v>39857.950000000004</v>
      </c>
      <c r="F25" s="235"/>
      <c r="G25" s="235"/>
      <c r="H25" s="235"/>
      <c r="I25" s="26"/>
    </row>
    <row r="26" spans="2:9">
      <c r="D26" s="44" t="s">
        <v>58</v>
      </c>
      <c r="E26" s="234">
        <f>E25</f>
        <v>39857.950000000004</v>
      </c>
      <c r="F26" s="235"/>
      <c r="G26" s="235"/>
      <c r="H26" s="235"/>
      <c r="I26" s="26"/>
    </row>
  </sheetData>
  <mergeCells count="42">
    <mergeCell ref="E26:H26"/>
    <mergeCell ref="E25:H25"/>
    <mergeCell ref="E24:H24"/>
    <mergeCell ref="B22:C22"/>
    <mergeCell ref="B4:H4"/>
    <mergeCell ref="E19:H19"/>
    <mergeCell ref="E13:H13"/>
    <mergeCell ref="G7:H7"/>
    <mergeCell ref="C18:C19"/>
    <mergeCell ref="E17:H17"/>
    <mergeCell ref="B16:B17"/>
    <mergeCell ref="C16:C17"/>
    <mergeCell ref="D16:D17"/>
    <mergeCell ref="E7:F7"/>
    <mergeCell ref="G5:H5"/>
    <mergeCell ref="E5:F5"/>
    <mergeCell ref="B1:H1"/>
    <mergeCell ref="E23:H23"/>
    <mergeCell ref="E22:H22"/>
    <mergeCell ref="B10:B11"/>
    <mergeCell ref="B12:B13"/>
    <mergeCell ref="B14:B15"/>
    <mergeCell ref="B18:B19"/>
    <mergeCell ref="D18:D19"/>
    <mergeCell ref="B7:D7"/>
    <mergeCell ref="C6:H6"/>
    <mergeCell ref="B2:H2"/>
    <mergeCell ref="B3:H3"/>
    <mergeCell ref="D10:D11"/>
    <mergeCell ref="D12:D13"/>
    <mergeCell ref="D14:D15"/>
    <mergeCell ref="C12:C13"/>
    <mergeCell ref="B20:B21"/>
    <mergeCell ref="C20:C21"/>
    <mergeCell ref="D20:D21"/>
    <mergeCell ref="E21:H21"/>
    <mergeCell ref="C5:D5"/>
    <mergeCell ref="C14:C15"/>
    <mergeCell ref="E9:H9"/>
    <mergeCell ref="C10:C11"/>
    <mergeCell ref="E11:H11"/>
    <mergeCell ref="E15:H15"/>
  </mergeCells>
  <printOptions horizontalCentered="1" verticalCentered="1"/>
  <pageMargins left="0.31496062992125984" right="0.31496062992125984" top="0" bottom="0" header="0.31496062992125984" footer="0.31496062992125984"/>
  <pageSetup paperSize="9" scale="9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7"/>
  <sheetViews>
    <sheetView workbookViewId="0">
      <selection activeCell="D37" sqref="D37"/>
    </sheetView>
  </sheetViews>
  <sheetFormatPr defaultRowHeight="12"/>
  <cols>
    <col min="1" max="1" width="9.140625" style="66"/>
    <col min="2" max="2" width="10.42578125" style="66" customWidth="1"/>
    <col min="3" max="3" width="42.28515625" style="66" customWidth="1"/>
    <col min="4" max="4" width="23.42578125" style="66" customWidth="1"/>
    <col min="5" max="16384" width="9.140625" style="66"/>
  </cols>
  <sheetData>
    <row r="1" spans="2:9" ht="15">
      <c r="B1" s="149" t="s">
        <v>16</v>
      </c>
      <c r="C1" s="149"/>
      <c r="D1" s="149"/>
      <c r="E1" s="65"/>
      <c r="F1" s="65"/>
      <c r="G1" s="65"/>
      <c r="H1" s="65"/>
      <c r="I1" s="65"/>
    </row>
    <row r="2" spans="2:9" ht="15">
      <c r="B2" s="149" t="s">
        <v>14</v>
      </c>
      <c r="C2" s="149"/>
      <c r="D2" s="149"/>
      <c r="E2" s="65"/>
      <c r="F2" s="65"/>
      <c r="G2" s="65"/>
      <c r="H2" s="65"/>
      <c r="I2" s="65"/>
    </row>
    <row r="3" spans="2:9" ht="14.25">
      <c r="B3" s="151" t="s">
        <v>15</v>
      </c>
      <c r="C3" s="151"/>
      <c r="D3" s="151"/>
      <c r="E3" s="67"/>
      <c r="F3" s="67"/>
      <c r="G3" s="67"/>
      <c r="H3" s="67"/>
      <c r="I3" s="67"/>
    </row>
    <row r="4" spans="2:9" ht="14.25">
      <c r="B4" s="64"/>
      <c r="C4" s="64"/>
      <c r="D4" s="31"/>
      <c r="E4" s="64"/>
      <c r="F4" s="64"/>
      <c r="G4" s="64"/>
      <c r="H4" s="64"/>
      <c r="I4" s="64"/>
    </row>
    <row r="5" spans="2:9" ht="14.25">
      <c r="B5" s="64"/>
      <c r="C5" s="64"/>
      <c r="D5" s="31"/>
      <c r="E5" s="64"/>
      <c r="F5" s="64"/>
      <c r="G5" s="64"/>
      <c r="H5" s="64"/>
      <c r="I5" s="64"/>
    </row>
    <row r="6" spans="2:9" ht="12.75">
      <c r="B6" s="244" t="s">
        <v>229</v>
      </c>
      <c r="C6" s="244"/>
      <c r="D6" s="244"/>
    </row>
    <row r="7" spans="2:9" ht="30.75" customHeight="1">
      <c r="B7" s="75" t="s">
        <v>230</v>
      </c>
      <c r="C7" s="245" t="s">
        <v>246</v>
      </c>
      <c r="D7" s="245"/>
    </row>
    <row r="8" spans="2:9" ht="12.75">
      <c r="B8" s="68" t="s">
        <v>231</v>
      </c>
      <c r="C8" s="246" t="s">
        <v>247</v>
      </c>
      <c r="D8" s="246"/>
    </row>
    <row r="9" spans="2:9" ht="5.0999999999999996" customHeight="1">
      <c r="B9" s="69"/>
      <c r="C9" s="69"/>
      <c r="D9" s="69"/>
    </row>
    <row r="10" spans="2:9" ht="12.75">
      <c r="B10" s="70" t="s">
        <v>50</v>
      </c>
      <c r="C10" s="70" t="s">
        <v>232</v>
      </c>
      <c r="D10" s="70" t="s">
        <v>233</v>
      </c>
    </row>
    <row r="11" spans="2:9" ht="12.75">
      <c r="B11" s="70">
        <v>1</v>
      </c>
      <c r="C11" s="70" t="s">
        <v>234</v>
      </c>
      <c r="D11" s="71">
        <v>0.03</v>
      </c>
    </row>
    <row r="12" spans="2:9" ht="12.75">
      <c r="B12" s="70">
        <v>2</v>
      </c>
      <c r="C12" s="70" t="s">
        <v>235</v>
      </c>
      <c r="D12" s="71">
        <v>6.5000000000000002E-2</v>
      </c>
    </row>
    <row r="13" spans="2:9" ht="12.75">
      <c r="B13" s="70">
        <v>3</v>
      </c>
      <c r="C13" s="70" t="s">
        <v>236</v>
      </c>
      <c r="D13" s="71">
        <v>6.0000000000000001E-3</v>
      </c>
    </row>
    <row r="14" spans="2:9" ht="12.75">
      <c r="B14" s="70">
        <v>4</v>
      </c>
      <c r="C14" s="70" t="s">
        <v>237</v>
      </c>
      <c r="D14" s="71">
        <v>8.0000000000000002E-3</v>
      </c>
    </row>
    <row r="15" spans="2:9" ht="12.75">
      <c r="B15" s="70">
        <v>5</v>
      </c>
      <c r="C15" s="70" t="s">
        <v>238</v>
      </c>
      <c r="D15" s="71">
        <v>9.7000000000000003E-3</v>
      </c>
    </row>
    <row r="16" spans="2:9" ht="12.75">
      <c r="B16" s="70">
        <v>6</v>
      </c>
      <c r="C16" s="70" t="s">
        <v>239</v>
      </c>
      <c r="D16" s="71">
        <f>D17+D18</f>
        <v>7.0000000000000007E-2</v>
      </c>
    </row>
    <row r="17" spans="2:4" ht="12.75">
      <c r="B17" s="70" t="s">
        <v>240</v>
      </c>
      <c r="C17" s="70" t="s">
        <v>241</v>
      </c>
      <c r="D17" s="71">
        <v>0.05</v>
      </c>
    </row>
    <row r="18" spans="2:4" ht="12.75">
      <c r="B18" s="70" t="s">
        <v>242</v>
      </c>
      <c r="C18" s="70" t="s">
        <v>243</v>
      </c>
      <c r="D18" s="71">
        <v>0.02</v>
      </c>
    </row>
    <row r="19" spans="2:4" ht="12.75">
      <c r="B19" s="70"/>
      <c r="C19" s="72" t="s">
        <v>244</v>
      </c>
      <c r="D19" s="73">
        <f>ROUNDUP((((1+D11+D14+D15)*(1+D12)*(1+D13))/(1-D16)-1),4)</f>
        <v>0.20699999999999999</v>
      </c>
    </row>
    <row r="20" spans="2:4" ht="5.0999999999999996" customHeight="1"/>
    <row r="21" spans="2:4">
      <c r="B21" s="242" t="s">
        <v>245</v>
      </c>
      <c r="C21" s="242"/>
      <c r="D21" s="242"/>
    </row>
    <row r="22" spans="2:4">
      <c r="B22" s="242"/>
      <c r="C22" s="242"/>
      <c r="D22" s="242"/>
    </row>
    <row r="23" spans="2:4">
      <c r="B23" s="243"/>
      <c r="C23" s="243"/>
      <c r="D23" s="243"/>
    </row>
    <row r="24" spans="2:4">
      <c r="B24" s="243"/>
      <c r="C24" s="243"/>
      <c r="D24" s="243"/>
    </row>
    <row r="25" spans="2:4">
      <c r="B25" s="243"/>
      <c r="C25" s="243"/>
      <c r="D25" s="243"/>
    </row>
    <row r="26" spans="2:4">
      <c r="B26" s="243"/>
      <c r="C26" s="243"/>
      <c r="D26" s="243"/>
    </row>
    <row r="27" spans="2:4">
      <c r="B27" s="243"/>
      <c r="C27" s="243"/>
      <c r="D27" s="243"/>
    </row>
  </sheetData>
  <mergeCells count="8">
    <mergeCell ref="B21:D22"/>
    <mergeCell ref="B23:D27"/>
    <mergeCell ref="B1:D1"/>
    <mergeCell ref="B2:D2"/>
    <mergeCell ref="B3:D3"/>
    <mergeCell ref="B6:D6"/>
    <mergeCell ref="C7:D7"/>
    <mergeCell ref="C8:D8"/>
  </mergeCells>
  <pageMargins left="0.511811024" right="0.511811024" top="0.78740157499999996" bottom="0.78740157499999996" header="0.31496062000000002" footer="0.31496062000000002"/>
  <pageSetup paperSize="9" orientation="portrait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54"/>
  <sheetViews>
    <sheetView topLeftCell="A4" zoomScaleNormal="100" workbookViewId="0">
      <selection activeCell="E13" sqref="E13"/>
    </sheetView>
  </sheetViews>
  <sheetFormatPr defaultRowHeight="15"/>
  <cols>
    <col min="1" max="1" width="52.28515625" bestFit="1" customWidth="1"/>
    <col min="2" max="2" width="38.85546875" customWidth="1"/>
    <col min="3" max="3" width="11.42578125" bestFit="1" customWidth="1"/>
    <col min="5" max="5" width="32.7109375" bestFit="1" customWidth="1"/>
  </cols>
  <sheetData>
    <row r="2" spans="1:4">
      <c r="A2" t="s">
        <v>337</v>
      </c>
    </row>
    <row r="3" spans="1:4">
      <c r="A3" t="s">
        <v>338</v>
      </c>
      <c r="B3" t="s">
        <v>1</v>
      </c>
      <c r="C3" t="s">
        <v>2</v>
      </c>
    </row>
    <row r="4" spans="1:4" ht="39" customHeight="1">
      <c r="A4" s="5" t="s">
        <v>252</v>
      </c>
      <c r="B4" s="6" t="s">
        <v>25</v>
      </c>
      <c r="C4" s="7">
        <f>2*1.5</f>
        <v>3</v>
      </c>
      <c r="D4" t="s">
        <v>5</v>
      </c>
    </row>
    <row r="5" spans="1:4" ht="17.25" customHeight="1"/>
    <row r="6" spans="1:4" ht="17.25" customHeight="1"/>
    <row r="7" spans="1:4" ht="24">
      <c r="A7" s="5" t="s">
        <v>253</v>
      </c>
      <c r="B7" s="6" t="s">
        <v>49</v>
      </c>
      <c r="C7" s="24">
        <f>B9*B10</f>
        <v>40</v>
      </c>
      <c r="D7" t="s">
        <v>7</v>
      </c>
    </row>
    <row r="9" spans="1:4">
      <c r="A9" t="s">
        <v>339</v>
      </c>
      <c r="B9">
        <v>20</v>
      </c>
    </row>
    <row r="10" spans="1:4">
      <c r="A10" t="s">
        <v>340</v>
      </c>
      <c r="B10">
        <v>2</v>
      </c>
      <c r="C10" t="s">
        <v>7</v>
      </c>
    </row>
    <row r="12" spans="1:4" ht="24">
      <c r="A12" s="5" t="s">
        <v>254</v>
      </c>
      <c r="B12" s="6" t="s">
        <v>389</v>
      </c>
      <c r="C12" s="7">
        <f>B14*B15*B16*B17</f>
        <v>0.24000000000000005</v>
      </c>
      <c r="D12" t="s">
        <v>6</v>
      </c>
    </row>
    <row r="14" spans="1:4">
      <c r="A14" t="s">
        <v>339</v>
      </c>
      <c r="B14">
        <v>20</v>
      </c>
    </row>
    <row r="15" spans="1:4">
      <c r="A15" t="s">
        <v>341</v>
      </c>
      <c r="B15">
        <v>0.15</v>
      </c>
      <c r="C15" t="s">
        <v>7</v>
      </c>
    </row>
    <row r="16" spans="1:4">
      <c r="A16" t="s">
        <v>342</v>
      </c>
      <c r="B16">
        <v>0.2</v>
      </c>
      <c r="C16" t="s">
        <v>7</v>
      </c>
    </row>
    <row r="17" spans="1:7">
      <c r="A17" t="s">
        <v>344</v>
      </c>
      <c r="B17">
        <v>0.4</v>
      </c>
      <c r="C17" t="s">
        <v>7</v>
      </c>
    </row>
    <row r="20" spans="1:7" ht="24">
      <c r="A20" s="5" t="s">
        <v>255</v>
      </c>
      <c r="B20" s="6" t="s">
        <v>251</v>
      </c>
      <c r="C20" s="7">
        <f>B22*B23*B24*B25</f>
        <v>0.24000000000000005</v>
      </c>
      <c r="D20" t="s">
        <v>6</v>
      </c>
    </row>
    <row r="22" spans="1:7">
      <c r="A22" t="s">
        <v>339</v>
      </c>
      <c r="B22">
        <v>20</v>
      </c>
    </row>
    <row r="23" spans="1:7">
      <c r="A23" t="s">
        <v>341</v>
      </c>
      <c r="B23">
        <v>0.15</v>
      </c>
      <c r="C23" t="s">
        <v>7</v>
      </c>
    </row>
    <row r="24" spans="1:7">
      <c r="A24" t="s">
        <v>342</v>
      </c>
      <c r="B24">
        <v>0.2</v>
      </c>
      <c r="C24" t="s">
        <v>7</v>
      </c>
    </row>
    <row r="25" spans="1:7">
      <c r="A25" t="s">
        <v>344</v>
      </c>
      <c r="B25">
        <v>0.4</v>
      </c>
      <c r="C25" t="s">
        <v>7</v>
      </c>
    </row>
    <row r="27" spans="1:7" ht="24">
      <c r="A27" s="5" t="s">
        <v>256</v>
      </c>
      <c r="B27" s="6" t="s">
        <v>36</v>
      </c>
      <c r="C27" s="24">
        <f>B32+B37+F32</f>
        <v>3.6440000000000006</v>
      </c>
      <c r="D27" t="s">
        <v>5</v>
      </c>
    </row>
    <row r="29" spans="1:7">
      <c r="A29" t="s">
        <v>343</v>
      </c>
      <c r="E29" s="116" t="s">
        <v>382</v>
      </c>
    </row>
    <row r="30" spans="1:7">
      <c r="A30" t="s">
        <v>342</v>
      </c>
      <c r="B30">
        <v>5.49</v>
      </c>
      <c r="C30" t="s">
        <v>7</v>
      </c>
      <c r="E30" t="s">
        <v>342</v>
      </c>
      <c r="F30">
        <v>1.68</v>
      </c>
      <c r="G30" t="s">
        <v>7</v>
      </c>
    </row>
    <row r="31" spans="1:7">
      <c r="A31" t="s">
        <v>344</v>
      </c>
      <c r="B31">
        <v>0.4</v>
      </c>
      <c r="C31" t="s">
        <v>7</v>
      </c>
      <c r="E31" t="s">
        <v>344</v>
      </c>
      <c r="F31">
        <v>0.4</v>
      </c>
      <c r="G31" t="s">
        <v>7</v>
      </c>
    </row>
    <row r="32" spans="1:7">
      <c r="A32" t="s">
        <v>345</v>
      </c>
      <c r="B32">
        <f>B30*B31</f>
        <v>2.1960000000000002</v>
      </c>
      <c r="C32" t="s">
        <v>5</v>
      </c>
      <c r="E32" t="s">
        <v>345</v>
      </c>
      <c r="F32">
        <f>F30*F31</f>
        <v>0.67200000000000004</v>
      </c>
      <c r="G32" t="s">
        <v>5</v>
      </c>
    </row>
    <row r="34" spans="1:4">
      <c r="A34" t="s">
        <v>346</v>
      </c>
    </row>
    <row r="35" spans="1:4">
      <c r="A35" t="s">
        <v>342</v>
      </c>
      <c r="B35">
        <v>1.94</v>
      </c>
      <c r="C35" t="s">
        <v>7</v>
      </c>
    </row>
    <row r="36" spans="1:4">
      <c r="A36" t="s">
        <v>344</v>
      </c>
      <c r="B36">
        <v>0.4</v>
      </c>
      <c r="C36" t="s">
        <v>7</v>
      </c>
    </row>
    <row r="37" spans="1:4">
      <c r="A37" t="s">
        <v>345</v>
      </c>
      <c r="B37">
        <f>B35*B36</f>
        <v>0.77600000000000002</v>
      </c>
      <c r="C37" t="s">
        <v>5</v>
      </c>
    </row>
    <row r="39" spans="1:4">
      <c r="A39" s="5" t="s">
        <v>257</v>
      </c>
      <c r="B39" s="11" t="s">
        <v>38</v>
      </c>
      <c r="C39" s="7">
        <f>B47+B55</f>
        <v>7.0585000000000004</v>
      </c>
      <c r="D39" t="s">
        <v>5</v>
      </c>
    </row>
    <row r="41" spans="1:4">
      <c r="A41" t="s">
        <v>343</v>
      </c>
    </row>
    <row r="42" spans="1:4">
      <c r="A42" t="s">
        <v>342</v>
      </c>
      <c r="B42">
        <v>5.49</v>
      </c>
      <c r="C42" t="s">
        <v>7</v>
      </c>
    </row>
    <row r="43" spans="1:4">
      <c r="A43" t="s">
        <v>344</v>
      </c>
      <c r="B43">
        <v>0.4</v>
      </c>
      <c r="C43" t="s">
        <v>7</v>
      </c>
    </row>
    <row r="44" spans="1:4">
      <c r="A44" t="s">
        <v>347</v>
      </c>
      <c r="B44">
        <v>0.15</v>
      </c>
      <c r="C44" t="s">
        <v>7</v>
      </c>
    </row>
    <row r="45" spans="1:4">
      <c r="A45" t="s">
        <v>348</v>
      </c>
      <c r="B45">
        <f>2*B42*B43</f>
        <v>4.3920000000000003</v>
      </c>
      <c r="C45" t="s">
        <v>5</v>
      </c>
    </row>
    <row r="46" spans="1:4">
      <c r="A46" t="s">
        <v>349</v>
      </c>
      <c r="B46">
        <f>B44*B42</f>
        <v>0.82350000000000001</v>
      </c>
      <c r="C46" t="s">
        <v>5</v>
      </c>
    </row>
    <row r="47" spans="1:4">
      <c r="A47" t="s">
        <v>350</v>
      </c>
      <c r="B47">
        <f>B45+B46</f>
        <v>5.2155000000000005</v>
      </c>
      <c r="C47" t="s">
        <v>5</v>
      </c>
    </row>
    <row r="49" spans="1:4">
      <c r="A49" t="s">
        <v>346</v>
      </c>
    </row>
    <row r="50" spans="1:4">
      <c r="A50" t="s">
        <v>342</v>
      </c>
      <c r="B50">
        <v>1.94</v>
      </c>
      <c r="C50" t="s">
        <v>7</v>
      </c>
    </row>
    <row r="51" spans="1:4">
      <c r="A51" t="s">
        <v>344</v>
      </c>
      <c r="B51">
        <v>0.4</v>
      </c>
      <c r="C51" t="s">
        <v>7</v>
      </c>
    </row>
    <row r="52" spans="1:4">
      <c r="A52" t="s">
        <v>347</v>
      </c>
      <c r="B52">
        <v>0.15</v>
      </c>
      <c r="C52" t="s">
        <v>7</v>
      </c>
    </row>
    <row r="53" spans="1:4">
      <c r="A53" t="s">
        <v>351</v>
      </c>
      <c r="B53">
        <f>2*B50*B51</f>
        <v>1.552</v>
      </c>
      <c r="C53" t="s">
        <v>5</v>
      </c>
    </row>
    <row r="54" spans="1:4">
      <c r="A54" t="s">
        <v>352</v>
      </c>
      <c r="B54">
        <f>B52*B50</f>
        <v>0.29099999999999998</v>
      </c>
      <c r="C54" t="s">
        <v>5</v>
      </c>
    </row>
    <row r="55" spans="1:4">
      <c r="A55" t="s">
        <v>350</v>
      </c>
      <c r="B55">
        <f>B53+B54</f>
        <v>1.843</v>
      </c>
      <c r="C55" t="s">
        <v>5</v>
      </c>
    </row>
    <row r="58" spans="1:4">
      <c r="A58" s="5" t="s">
        <v>259</v>
      </c>
      <c r="B58" s="6" t="s">
        <v>329</v>
      </c>
      <c r="C58" s="24">
        <f>B64</f>
        <v>1.4560000000000002</v>
      </c>
      <c r="D58" t="s">
        <v>6</v>
      </c>
    </row>
    <row r="60" spans="1:4">
      <c r="A60" t="s">
        <v>353</v>
      </c>
    </row>
    <row r="61" spans="1:4">
      <c r="A61" t="s">
        <v>341</v>
      </c>
      <c r="B61">
        <v>4.16</v>
      </c>
      <c r="C61" t="s">
        <v>7</v>
      </c>
    </row>
    <row r="62" spans="1:4">
      <c r="A62" t="s">
        <v>342</v>
      </c>
      <c r="B62">
        <v>5</v>
      </c>
      <c r="C62" t="s">
        <v>7</v>
      </c>
    </row>
    <row r="63" spans="1:4">
      <c r="A63" t="s">
        <v>354</v>
      </c>
      <c r="B63">
        <v>7.0000000000000007E-2</v>
      </c>
      <c r="C63" t="s">
        <v>7</v>
      </c>
    </row>
    <row r="64" spans="1:4">
      <c r="A64" t="s">
        <v>355</v>
      </c>
      <c r="B64">
        <f>B61*B62*B63</f>
        <v>1.4560000000000002</v>
      </c>
      <c r="C64" t="s">
        <v>5</v>
      </c>
    </row>
    <row r="66" spans="1:4">
      <c r="A66" s="5" t="s">
        <v>260</v>
      </c>
      <c r="B66" s="6" t="s">
        <v>331</v>
      </c>
      <c r="C66" s="7">
        <f>B71</f>
        <v>29.119999999999997</v>
      </c>
      <c r="D66" t="s">
        <v>357</v>
      </c>
    </row>
    <row r="68" spans="1:4">
      <c r="A68" t="s">
        <v>353</v>
      </c>
    </row>
    <row r="69" spans="1:4">
      <c r="A69" t="s">
        <v>341</v>
      </c>
      <c r="B69">
        <v>4.16</v>
      </c>
      <c r="C69" t="s">
        <v>7</v>
      </c>
    </row>
    <row r="70" spans="1:4">
      <c r="A70" t="s">
        <v>342</v>
      </c>
      <c r="B70">
        <v>5</v>
      </c>
      <c r="C70" t="s">
        <v>7</v>
      </c>
    </row>
    <row r="71" spans="1:4">
      <c r="A71" t="s">
        <v>356</v>
      </c>
      <c r="B71">
        <f>1.4*B69*B70</f>
        <v>29.119999999999997</v>
      </c>
      <c r="C71" t="s">
        <v>357</v>
      </c>
    </row>
    <row r="73" spans="1:4" ht="36">
      <c r="A73" s="5" t="s">
        <v>262</v>
      </c>
      <c r="B73" s="6" t="s">
        <v>65</v>
      </c>
      <c r="C73" s="24">
        <f>B76+B79*B80</f>
        <v>7.51</v>
      </c>
      <c r="D73" s="116" t="s">
        <v>7</v>
      </c>
    </row>
    <row r="75" spans="1:4">
      <c r="A75" t="s">
        <v>358</v>
      </c>
    </row>
    <row r="76" spans="1:4">
      <c r="A76" t="s">
        <v>359</v>
      </c>
      <c r="B76">
        <v>7.51</v>
      </c>
      <c r="C76" t="s">
        <v>7</v>
      </c>
    </row>
    <row r="78" spans="1:4">
      <c r="A78" t="s">
        <v>360</v>
      </c>
    </row>
    <row r="79" spans="1:4">
      <c r="A79" t="s">
        <v>339</v>
      </c>
    </row>
    <row r="80" spans="1:4">
      <c r="A80" t="s">
        <v>341</v>
      </c>
      <c r="C80" t="s">
        <v>7</v>
      </c>
    </row>
    <row r="82" spans="1:7">
      <c r="A82" s="5" t="s">
        <v>240</v>
      </c>
      <c r="B82" s="11" t="s">
        <v>31</v>
      </c>
      <c r="C82" s="24">
        <f>B90+B98+B106+B114+B122+B130+B138+B146+B154+F90</f>
        <v>75.003299999999996</v>
      </c>
      <c r="D82" s="116" t="s">
        <v>5</v>
      </c>
    </row>
    <row r="84" spans="1:7">
      <c r="A84" t="s">
        <v>361</v>
      </c>
      <c r="E84" s="116" t="s">
        <v>383</v>
      </c>
    </row>
    <row r="85" spans="1:7">
      <c r="A85" t="s">
        <v>342</v>
      </c>
      <c r="B85">
        <v>5.49</v>
      </c>
      <c r="C85" t="s">
        <v>7</v>
      </c>
      <c r="E85" t="s">
        <v>342</v>
      </c>
      <c r="F85">
        <v>1.68</v>
      </c>
      <c r="G85" t="s">
        <v>7</v>
      </c>
    </row>
    <row r="86" spans="1:7">
      <c r="A86" t="s">
        <v>344</v>
      </c>
      <c r="B86">
        <v>0.4</v>
      </c>
      <c r="C86" t="s">
        <v>7</v>
      </c>
      <c r="E86" t="s">
        <v>344</v>
      </c>
      <c r="F86">
        <v>0.4</v>
      </c>
      <c r="G86" t="s">
        <v>7</v>
      </c>
    </row>
    <row r="87" spans="1:7">
      <c r="A87" t="s">
        <v>347</v>
      </c>
      <c r="B87">
        <v>0.15</v>
      </c>
      <c r="C87" t="s">
        <v>7</v>
      </c>
      <c r="E87" t="s">
        <v>347</v>
      </c>
      <c r="F87">
        <v>0.15</v>
      </c>
      <c r="G87" t="s">
        <v>7</v>
      </c>
    </row>
    <row r="88" spans="1:7">
      <c r="A88" t="s">
        <v>348</v>
      </c>
      <c r="B88">
        <f>2*B85*B86</f>
        <v>4.3920000000000003</v>
      </c>
      <c r="C88" t="s">
        <v>5</v>
      </c>
      <c r="E88" s="116" t="s">
        <v>384</v>
      </c>
      <c r="F88">
        <f>2*F85*F86</f>
        <v>1.3440000000000001</v>
      </c>
      <c r="G88" t="s">
        <v>5</v>
      </c>
    </row>
    <row r="89" spans="1:7">
      <c r="A89" t="s">
        <v>349</v>
      </c>
      <c r="B89">
        <f>B87*B85</f>
        <v>0.82350000000000001</v>
      </c>
      <c r="C89" t="s">
        <v>5</v>
      </c>
      <c r="E89" s="116" t="s">
        <v>385</v>
      </c>
      <c r="F89">
        <f>F87*F85</f>
        <v>0.252</v>
      </c>
      <c r="G89" t="s">
        <v>5</v>
      </c>
    </row>
    <row r="90" spans="1:7">
      <c r="A90" s="115" t="s">
        <v>350</v>
      </c>
      <c r="B90" s="115">
        <f>B88+B89</f>
        <v>5.2155000000000005</v>
      </c>
      <c r="C90" t="s">
        <v>5</v>
      </c>
      <c r="E90" s="115" t="s">
        <v>350</v>
      </c>
      <c r="F90" s="115">
        <f>F88+F89</f>
        <v>1.5960000000000001</v>
      </c>
      <c r="G90" t="s">
        <v>5</v>
      </c>
    </row>
    <row r="92" spans="1:7">
      <c r="A92" t="s">
        <v>362</v>
      </c>
    </row>
    <row r="93" spans="1:7">
      <c r="A93" t="s">
        <v>342</v>
      </c>
      <c r="B93">
        <v>1.94</v>
      </c>
      <c r="C93" t="s">
        <v>7</v>
      </c>
    </row>
    <row r="94" spans="1:7">
      <c r="A94" t="s">
        <v>344</v>
      </c>
      <c r="B94">
        <v>0.4</v>
      </c>
      <c r="C94" t="s">
        <v>7</v>
      </c>
    </row>
    <row r="95" spans="1:7">
      <c r="A95" t="s">
        <v>347</v>
      </c>
      <c r="B95">
        <v>0.15</v>
      </c>
      <c r="C95" t="s">
        <v>7</v>
      </c>
    </row>
    <row r="96" spans="1:7">
      <c r="A96" t="s">
        <v>351</v>
      </c>
      <c r="B96">
        <f>2*B93*B94</f>
        <v>1.552</v>
      </c>
      <c r="C96" t="s">
        <v>5</v>
      </c>
    </row>
    <row r="97" spans="1:3">
      <c r="A97" t="s">
        <v>352</v>
      </c>
      <c r="B97">
        <f>B95*B93</f>
        <v>0.29099999999999998</v>
      </c>
      <c r="C97" t="s">
        <v>5</v>
      </c>
    </row>
    <row r="98" spans="1:3">
      <c r="A98" s="115" t="s">
        <v>350</v>
      </c>
      <c r="B98" s="115">
        <f>B96+B97</f>
        <v>1.843</v>
      </c>
      <c r="C98" t="s">
        <v>5</v>
      </c>
    </row>
    <row r="100" spans="1:3">
      <c r="A100" s="116" t="s">
        <v>363</v>
      </c>
    </row>
    <row r="101" spans="1:3">
      <c r="A101" t="s">
        <v>342</v>
      </c>
      <c r="B101">
        <v>3.51</v>
      </c>
      <c r="C101" t="s">
        <v>7</v>
      </c>
    </row>
    <row r="102" spans="1:3">
      <c r="A102" t="s">
        <v>344</v>
      </c>
      <c r="B102">
        <v>0.4</v>
      </c>
      <c r="C102" t="s">
        <v>7</v>
      </c>
    </row>
    <row r="103" spans="1:3">
      <c r="A103" t="s">
        <v>347</v>
      </c>
      <c r="B103">
        <v>0.15</v>
      </c>
      <c r="C103" t="s">
        <v>7</v>
      </c>
    </row>
    <row r="104" spans="1:3">
      <c r="A104" s="116" t="s">
        <v>364</v>
      </c>
      <c r="B104">
        <f>2*B101*B102</f>
        <v>2.8079999999999998</v>
      </c>
      <c r="C104" t="s">
        <v>5</v>
      </c>
    </row>
    <row r="105" spans="1:3">
      <c r="A105" s="116" t="s">
        <v>365</v>
      </c>
      <c r="B105">
        <f>B103*B101</f>
        <v>0.52649999999999997</v>
      </c>
      <c r="C105" t="s">
        <v>5</v>
      </c>
    </row>
    <row r="106" spans="1:3">
      <c r="A106" s="115" t="s">
        <v>350</v>
      </c>
      <c r="B106" s="115">
        <f>B104+B105</f>
        <v>3.3344999999999998</v>
      </c>
      <c r="C106" t="s">
        <v>5</v>
      </c>
    </row>
    <row r="108" spans="1:3">
      <c r="A108" s="116" t="s">
        <v>366</v>
      </c>
    </row>
    <row r="109" spans="1:3">
      <c r="A109" t="s">
        <v>342</v>
      </c>
      <c r="B109">
        <v>6.53</v>
      </c>
      <c r="C109" t="s">
        <v>7</v>
      </c>
    </row>
    <row r="110" spans="1:3">
      <c r="A110" t="s">
        <v>344</v>
      </c>
      <c r="B110">
        <v>0.4</v>
      </c>
      <c r="C110" t="s">
        <v>7</v>
      </c>
    </row>
    <row r="111" spans="1:3">
      <c r="A111" t="s">
        <v>347</v>
      </c>
      <c r="B111">
        <v>0.15</v>
      </c>
      <c r="C111" t="s">
        <v>7</v>
      </c>
    </row>
    <row r="112" spans="1:3">
      <c r="A112" s="116" t="s">
        <v>367</v>
      </c>
      <c r="B112">
        <f>2*B109*B110</f>
        <v>5.2240000000000002</v>
      </c>
      <c r="C112" t="s">
        <v>5</v>
      </c>
    </row>
    <row r="113" spans="1:3">
      <c r="A113" s="116" t="s">
        <v>368</v>
      </c>
      <c r="B113">
        <f>B111*B109</f>
        <v>0.97950000000000004</v>
      </c>
      <c r="C113" t="s">
        <v>5</v>
      </c>
    </row>
    <row r="114" spans="1:3">
      <c r="A114" s="115" t="s">
        <v>350</v>
      </c>
      <c r="B114" s="115">
        <f>B112+B113</f>
        <v>6.2035</v>
      </c>
      <c r="C114" t="s">
        <v>5</v>
      </c>
    </row>
    <row r="116" spans="1:3">
      <c r="A116" s="116" t="s">
        <v>369</v>
      </c>
    </row>
    <row r="117" spans="1:3">
      <c r="A117" t="s">
        <v>342</v>
      </c>
      <c r="B117">
        <v>5.87</v>
      </c>
      <c r="C117" t="s">
        <v>7</v>
      </c>
    </row>
    <row r="118" spans="1:3">
      <c r="A118" t="s">
        <v>344</v>
      </c>
      <c r="B118">
        <v>0.4</v>
      </c>
      <c r="C118" t="s">
        <v>7</v>
      </c>
    </row>
    <row r="119" spans="1:3">
      <c r="A119" t="s">
        <v>347</v>
      </c>
      <c r="B119">
        <v>0.15</v>
      </c>
      <c r="C119" t="s">
        <v>7</v>
      </c>
    </row>
    <row r="120" spans="1:3">
      <c r="A120" s="116" t="s">
        <v>370</v>
      </c>
      <c r="B120">
        <f>2*B117*B118</f>
        <v>4.6960000000000006</v>
      </c>
      <c r="C120" t="s">
        <v>5</v>
      </c>
    </row>
    <row r="121" spans="1:3">
      <c r="A121" s="116" t="s">
        <v>371</v>
      </c>
      <c r="B121">
        <f>B119*B117</f>
        <v>0.88049999999999995</v>
      </c>
      <c r="C121" t="s">
        <v>5</v>
      </c>
    </row>
    <row r="122" spans="1:3">
      <c r="A122" s="115" t="s">
        <v>350</v>
      </c>
      <c r="B122" s="115">
        <f>B120+B121</f>
        <v>5.5765000000000002</v>
      </c>
      <c r="C122" t="s">
        <v>5</v>
      </c>
    </row>
    <row r="124" spans="1:3">
      <c r="A124" s="116" t="s">
        <v>372</v>
      </c>
    </row>
    <row r="125" spans="1:3">
      <c r="A125" t="s">
        <v>342</v>
      </c>
      <c r="B125">
        <v>1.54</v>
      </c>
      <c r="C125" t="s">
        <v>7</v>
      </c>
    </row>
    <row r="126" spans="1:3">
      <c r="A126" t="s">
        <v>344</v>
      </c>
      <c r="B126">
        <v>0.4</v>
      </c>
      <c r="C126" t="s">
        <v>7</v>
      </c>
    </row>
    <row r="127" spans="1:3">
      <c r="A127" t="s">
        <v>347</v>
      </c>
      <c r="B127">
        <v>0.15</v>
      </c>
      <c r="C127" t="s">
        <v>7</v>
      </c>
    </row>
    <row r="128" spans="1:3">
      <c r="A128" s="116" t="s">
        <v>373</v>
      </c>
      <c r="B128">
        <f>2*B125*B126</f>
        <v>1.2320000000000002</v>
      </c>
      <c r="C128" t="s">
        <v>5</v>
      </c>
    </row>
    <row r="129" spans="1:3">
      <c r="A129" s="116" t="s">
        <v>374</v>
      </c>
      <c r="B129">
        <f>B127*B125</f>
        <v>0.23099999999999998</v>
      </c>
      <c r="C129" t="s">
        <v>5</v>
      </c>
    </row>
    <row r="130" spans="1:3">
      <c r="A130" s="115" t="s">
        <v>350</v>
      </c>
      <c r="B130" s="115">
        <f>B128+B129</f>
        <v>1.4630000000000001</v>
      </c>
      <c r="C130" t="s">
        <v>5</v>
      </c>
    </row>
    <row r="132" spans="1:3">
      <c r="A132" s="116" t="s">
        <v>377</v>
      </c>
    </row>
    <row r="133" spans="1:3">
      <c r="A133" t="s">
        <v>342</v>
      </c>
      <c r="B133">
        <f>18.61+3.26</f>
        <v>21.869999999999997</v>
      </c>
      <c r="C133" t="s">
        <v>7</v>
      </c>
    </row>
    <row r="134" spans="1:3">
      <c r="A134" t="s">
        <v>344</v>
      </c>
      <c r="B134">
        <v>0.4</v>
      </c>
      <c r="C134" t="s">
        <v>7</v>
      </c>
    </row>
    <row r="135" spans="1:3">
      <c r="A135" t="s">
        <v>347</v>
      </c>
      <c r="B135">
        <v>0.15</v>
      </c>
      <c r="C135" t="s">
        <v>7</v>
      </c>
    </row>
    <row r="136" spans="1:3">
      <c r="A136" s="116" t="s">
        <v>375</v>
      </c>
      <c r="B136">
        <f>2*B133*B134</f>
        <v>17.495999999999999</v>
      </c>
      <c r="C136" t="s">
        <v>5</v>
      </c>
    </row>
    <row r="137" spans="1:3">
      <c r="A137" s="116" t="s">
        <v>376</v>
      </c>
      <c r="B137">
        <f>B135*B133</f>
        <v>3.2804999999999995</v>
      </c>
      <c r="C137" t="s">
        <v>5</v>
      </c>
    </row>
    <row r="138" spans="1:3">
      <c r="A138" s="115" t="s">
        <v>350</v>
      </c>
      <c r="B138" s="115">
        <f>B136+B137</f>
        <v>20.776499999999999</v>
      </c>
      <c r="C138" t="s">
        <v>5</v>
      </c>
    </row>
    <row r="140" spans="1:3">
      <c r="A140" s="116" t="s">
        <v>378</v>
      </c>
    </row>
    <row r="141" spans="1:3">
      <c r="A141" t="s">
        <v>342</v>
      </c>
      <c r="B141">
        <v>9.73</v>
      </c>
      <c r="C141" t="s">
        <v>7</v>
      </c>
    </row>
    <row r="142" spans="1:3">
      <c r="A142" t="s">
        <v>344</v>
      </c>
      <c r="B142">
        <v>0.4</v>
      </c>
      <c r="C142" t="s">
        <v>7</v>
      </c>
    </row>
    <row r="143" spans="1:3">
      <c r="A143" t="s">
        <v>347</v>
      </c>
      <c r="B143">
        <v>0.15</v>
      </c>
      <c r="C143" t="s">
        <v>7</v>
      </c>
    </row>
    <row r="144" spans="1:3">
      <c r="A144" s="116" t="s">
        <v>379</v>
      </c>
      <c r="B144">
        <f>2*B141*B142</f>
        <v>7.7840000000000007</v>
      </c>
      <c r="C144" t="s">
        <v>5</v>
      </c>
    </row>
    <row r="145" spans="1:3">
      <c r="A145" s="116" t="s">
        <v>380</v>
      </c>
      <c r="B145">
        <f>B143*B141</f>
        <v>1.4595</v>
      </c>
      <c r="C145" t="s">
        <v>5</v>
      </c>
    </row>
    <row r="146" spans="1:3">
      <c r="A146" s="115" t="s">
        <v>350</v>
      </c>
      <c r="B146" s="115">
        <f>B144+B145</f>
        <v>9.2435000000000009</v>
      </c>
      <c r="C146" t="s">
        <v>5</v>
      </c>
    </row>
    <row r="148" spans="1:3">
      <c r="A148" s="116" t="s">
        <v>381</v>
      </c>
    </row>
    <row r="149" spans="1:3">
      <c r="A149" t="s">
        <v>342</v>
      </c>
      <c r="B149">
        <v>7.51</v>
      </c>
      <c r="C149" t="s">
        <v>7</v>
      </c>
    </row>
    <row r="150" spans="1:3">
      <c r="A150" t="s">
        <v>344</v>
      </c>
      <c r="B150">
        <v>2.48</v>
      </c>
      <c r="C150" t="s">
        <v>7</v>
      </c>
    </row>
    <row r="151" spans="1:3">
      <c r="A151" t="s">
        <v>347</v>
      </c>
      <c r="B151">
        <v>0.15</v>
      </c>
      <c r="C151" t="s">
        <v>7</v>
      </c>
    </row>
    <row r="152" spans="1:3">
      <c r="A152" s="117" t="s">
        <v>386</v>
      </c>
      <c r="B152">
        <f>1*B149*B150</f>
        <v>18.6248</v>
      </c>
      <c r="C152" t="s">
        <v>5</v>
      </c>
    </row>
    <row r="153" spans="1:3">
      <c r="A153" s="116" t="s">
        <v>380</v>
      </c>
      <c r="B153">
        <f>B151*B149</f>
        <v>1.1264999999999998</v>
      </c>
      <c r="C153" t="s">
        <v>5</v>
      </c>
    </row>
    <row r="154" spans="1:3">
      <c r="A154" s="115" t="s">
        <v>350</v>
      </c>
      <c r="B154" s="115">
        <f>B152+B153</f>
        <v>19.751300000000001</v>
      </c>
      <c r="C154" t="s">
        <v>5</v>
      </c>
    </row>
  </sheetData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G2:P150"/>
  <sheetViews>
    <sheetView topLeftCell="E100" workbookViewId="0">
      <selection activeCell="L127" sqref="L127"/>
    </sheetView>
  </sheetViews>
  <sheetFormatPr defaultRowHeight="12"/>
  <cols>
    <col min="1" max="6" width="9.140625" style="1"/>
    <col min="7" max="7" width="32.85546875" style="1" bestFit="1" customWidth="1"/>
    <col min="8" max="8" width="15.140625" style="1" bestFit="1" customWidth="1"/>
    <col min="9" max="9" width="24.5703125" style="1" bestFit="1" customWidth="1"/>
    <col min="10" max="10" width="21.140625" style="1" bestFit="1" customWidth="1"/>
    <col min="11" max="12" width="18.42578125" style="1" bestFit="1" customWidth="1"/>
    <col min="13" max="13" width="16.5703125" style="1" bestFit="1" customWidth="1"/>
    <col min="14" max="15" width="10" style="1" customWidth="1"/>
    <col min="16" max="16384" width="9.140625" style="1"/>
  </cols>
  <sheetData>
    <row r="2" spans="7:16">
      <c r="G2" s="216" t="s">
        <v>66</v>
      </c>
      <c r="H2" s="226" t="s">
        <v>67</v>
      </c>
      <c r="I2" s="227"/>
      <c r="J2" s="251"/>
      <c r="K2" s="249" t="s">
        <v>68</v>
      </c>
      <c r="L2" s="249"/>
      <c r="M2" s="247" t="s">
        <v>72</v>
      </c>
      <c r="N2" s="51"/>
      <c r="O2" s="247" t="s">
        <v>75</v>
      </c>
      <c r="P2" s="247"/>
    </row>
    <row r="3" spans="7:16">
      <c r="G3" s="217"/>
      <c r="H3" s="20" t="s">
        <v>69</v>
      </c>
      <c r="I3" s="20" t="s">
        <v>70</v>
      </c>
      <c r="J3" s="20" t="s">
        <v>71</v>
      </c>
      <c r="K3" s="20" t="s">
        <v>69</v>
      </c>
      <c r="L3" s="20" t="s">
        <v>70</v>
      </c>
      <c r="M3" s="247"/>
      <c r="N3" s="51" t="s">
        <v>196</v>
      </c>
      <c r="O3" s="38" t="s">
        <v>76</v>
      </c>
      <c r="P3" s="38" t="s">
        <v>77</v>
      </c>
    </row>
    <row r="4" spans="7:16">
      <c r="G4" s="59" t="s">
        <v>154</v>
      </c>
      <c r="H4" s="22">
        <v>7</v>
      </c>
      <c r="I4" s="22">
        <v>2</v>
      </c>
      <c r="J4" s="22">
        <v>1</v>
      </c>
      <c r="K4" s="22">
        <v>0</v>
      </c>
      <c r="L4" s="22">
        <v>0</v>
      </c>
      <c r="M4" s="22">
        <v>4</v>
      </c>
      <c r="N4" s="22">
        <v>0</v>
      </c>
      <c r="O4" s="21">
        <v>0</v>
      </c>
      <c r="P4" s="21">
        <v>1</v>
      </c>
    </row>
    <row r="5" spans="7:16">
      <c r="G5" s="59" t="s">
        <v>155</v>
      </c>
      <c r="H5" s="22">
        <v>8</v>
      </c>
      <c r="I5" s="22">
        <v>1</v>
      </c>
      <c r="J5" s="22">
        <v>1</v>
      </c>
      <c r="K5" s="22">
        <v>0</v>
      </c>
      <c r="L5" s="22">
        <v>0</v>
      </c>
      <c r="M5" s="22">
        <v>4</v>
      </c>
      <c r="N5" s="22">
        <v>0</v>
      </c>
      <c r="O5" s="21">
        <v>0</v>
      </c>
      <c r="P5" s="21">
        <v>1</v>
      </c>
    </row>
    <row r="6" spans="7:16">
      <c r="G6" s="59" t="s">
        <v>156</v>
      </c>
      <c r="H6" s="22">
        <v>10</v>
      </c>
      <c r="I6" s="22">
        <v>3</v>
      </c>
      <c r="J6" s="22">
        <v>1</v>
      </c>
      <c r="K6" s="22">
        <v>0</v>
      </c>
      <c r="L6" s="22">
        <v>0</v>
      </c>
      <c r="M6" s="22">
        <v>5</v>
      </c>
      <c r="N6" s="22">
        <v>0</v>
      </c>
      <c r="O6" s="21">
        <v>0</v>
      </c>
      <c r="P6" s="21">
        <v>4</v>
      </c>
    </row>
    <row r="7" spans="7:16">
      <c r="G7" s="59" t="s">
        <v>157</v>
      </c>
      <c r="H7" s="22">
        <v>8</v>
      </c>
      <c r="I7" s="22">
        <v>2</v>
      </c>
      <c r="J7" s="22">
        <v>1</v>
      </c>
      <c r="K7" s="22">
        <v>0</v>
      </c>
      <c r="L7" s="22">
        <v>0</v>
      </c>
      <c r="M7" s="22">
        <v>4</v>
      </c>
      <c r="N7" s="22">
        <v>0</v>
      </c>
      <c r="O7" s="21">
        <v>0</v>
      </c>
      <c r="P7" s="21">
        <v>1</v>
      </c>
    </row>
    <row r="8" spans="7:16">
      <c r="G8" s="59" t="s">
        <v>158</v>
      </c>
      <c r="H8" s="22">
        <v>1</v>
      </c>
      <c r="I8" s="22">
        <v>3</v>
      </c>
      <c r="J8" s="22">
        <v>0</v>
      </c>
      <c r="K8" s="22">
        <v>0</v>
      </c>
      <c r="L8" s="22">
        <v>0</v>
      </c>
      <c r="M8" s="22">
        <v>2</v>
      </c>
      <c r="N8" s="22">
        <v>0</v>
      </c>
      <c r="O8" s="21">
        <v>2</v>
      </c>
      <c r="P8" s="21">
        <v>0</v>
      </c>
    </row>
    <row r="9" spans="7:16">
      <c r="G9" s="59" t="s">
        <v>159</v>
      </c>
      <c r="H9" s="22">
        <v>0</v>
      </c>
      <c r="I9" s="22">
        <v>0</v>
      </c>
      <c r="J9" s="22">
        <v>0</v>
      </c>
      <c r="K9" s="22">
        <v>0</v>
      </c>
      <c r="L9" s="22">
        <v>1</v>
      </c>
      <c r="M9" s="22">
        <v>1</v>
      </c>
      <c r="N9" s="22">
        <v>1</v>
      </c>
      <c r="O9" s="21">
        <v>0</v>
      </c>
      <c r="P9" s="21">
        <v>0</v>
      </c>
    </row>
    <row r="10" spans="7:16">
      <c r="G10" s="59" t="s">
        <v>161</v>
      </c>
      <c r="H10" s="22">
        <v>1</v>
      </c>
      <c r="I10" s="22">
        <v>2</v>
      </c>
      <c r="J10" s="22">
        <v>1</v>
      </c>
      <c r="K10" s="22">
        <v>0</v>
      </c>
      <c r="L10" s="22">
        <v>2</v>
      </c>
      <c r="M10" s="22">
        <v>1</v>
      </c>
      <c r="N10" s="22">
        <v>0</v>
      </c>
      <c r="O10" s="21">
        <v>2</v>
      </c>
      <c r="P10" s="21">
        <v>0</v>
      </c>
    </row>
    <row r="11" spans="7:16">
      <c r="G11" s="59" t="s">
        <v>160</v>
      </c>
      <c r="H11" s="22">
        <v>2</v>
      </c>
      <c r="I11" s="22">
        <v>4</v>
      </c>
      <c r="J11" s="22">
        <v>1</v>
      </c>
      <c r="K11" s="22">
        <v>0</v>
      </c>
      <c r="L11" s="22">
        <v>2</v>
      </c>
      <c r="M11" s="22">
        <v>2</v>
      </c>
      <c r="N11" s="22">
        <v>0</v>
      </c>
      <c r="O11" s="21">
        <v>2</v>
      </c>
      <c r="P11" s="21">
        <v>0</v>
      </c>
    </row>
    <row r="12" spans="7:16">
      <c r="G12" s="59" t="s">
        <v>162</v>
      </c>
      <c r="H12" s="22">
        <v>6</v>
      </c>
      <c r="I12" s="22">
        <v>2</v>
      </c>
      <c r="J12" s="22">
        <v>1</v>
      </c>
      <c r="K12" s="22">
        <v>0</v>
      </c>
      <c r="L12" s="22">
        <v>0</v>
      </c>
      <c r="M12" s="22">
        <v>4</v>
      </c>
      <c r="N12" s="22">
        <v>0</v>
      </c>
      <c r="O12" s="21">
        <v>0</v>
      </c>
      <c r="P12" s="21">
        <v>3</v>
      </c>
    </row>
    <row r="13" spans="7:16">
      <c r="G13" s="59" t="s">
        <v>163</v>
      </c>
      <c r="H13" s="22">
        <v>4</v>
      </c>
      <c r="I13" s="22">
        <v>1</v>
      </c>
      <c r="J13" s="22">
        <v>1</v>
      </c>
      <c r="K13" s="22">
        <v>0</v>
      </c>
      <c r="L13" s="22">
        <v>0</v>
      </c>
      <c r="M13" s="22">
        <v>2</v>
      </c>
      <c r="N13" s="22">
        <v>2</v>
      </c>
      <c r="O13" s="21">
        <v>0</v>
      </c>
      <c r="P13" s="21">
        <v>0</v>
      </c>
    </row>
    <row r="14" spans="7:16">
      <c r="G14" s="59" t="s">
        <v>164</v>
      </c>
      <c r="H14" s="22">
        <v>0</v>
      </c>
      <c r="I14" s="22">
        <v>0</v>
      </c>
      <c r="J14" s="22">
        <v>0</v>
      </c>
      <c r="K14" s="22">
        <v>0</v>
      </c>
      <c r="L14" s="22">
        <v>1</v>
      </c>
      <c r="M14" s="22">
        <v>1</v>
      </c>
      <c r="N14" s="22">
        <v>1</v>
      </c>
      <c r="O14" s="21">
        <v>0</v>
      </c>
      <c r="P14" s="21">
        <v>0</v>
      </c>
    </row>
    <row r="15" spans="7:16">
      <c r="G15" s="59" t="s">
        <v>171</v>
      </c>
      <c r="H15" s="22">
        <v>0</v>
      </c>
      <c r="I15" s="22">
        <v>0</v>
      </c>
      <c r="J15" s="22">
        <v>0</v>
      </c>
      <c r="K15" s="22">
        <v>0</v>
      </c>
      <c r="L15" s="22">
        <v>1</v>
      </c>
      <c r="M15" s="22">
        <v>1</v>
      </c>
      <c r="N15" s="22">
        <v>2</v>
      </c>
      <c r="O15" s="21">
        <v>0</v>
      </c>
      <c r="P15" s="21">
        <v>0</v>
      </c>
    </row>
    <row r="16" spans="7:16">
      <c r="G16" s="59" t="s">
        <v>172</v>
      </c>
      <c r="H16" s="22">
        <v>0</v>
      </c>
      <c r="I16" s="22">
        <v>1</v>
      </c>
      <c r="J16" s="22">
        <v>0</v>
      </c>
      <c r="K16" s="22">
        <v>0</v>
      </c>
      <c r="L16" s="22">
        <v>1</v>
      </c>
      <c r="M16" s="22">
        <v>1</v>
      </c>
      <c r="N16" s="22">
        <v>1</v>
      </c>
      <c r="O16" s="21">
        <v>0</v>
      </c>
      <c r="P16" s="21">
        <v>0</v>
      </c>
    </row>
    <row r="17" spans="7:16">
      <c r="G17" s="59" t="s">
        <v>73</v>
      </c>
      <c r="H17" s="22">
        <v>0</v>
      </c>
      <c r="I17" s="22">
        <v>1</v>
      </c>
      <c r="J17" s="22">
        <v>0</v>
      </c>
      <c r="K17" s="22">
        <v>0</v>
      </c>
      <c r="L17" s="22">
        <v>0</v>
      </c>
      <c r="M17" s="22">
        <v>1</v>
      </c>
      <c r="N17" s="22">
        <v>1</v>
      </c>
      <c r="O17" s="21">
        <v>0</v>
      </c>
      <c r="P17" s="21">
        <v>0</v>
      </c>
    </row>
    <row r="18" spans="7:16">
      <c r="G18" s="59" t="s">
        <v>74</v>
      </c>
      <c r="H18" s="22">
        <v>0</v>
      </c>
      <c r="I18" s="22">
        <v>1</v>
      </c>
      <c r="J18" s="22">
        <v>0</v>
      </c>
      <c r="K18" s="22">
        <v>0</v>
      </c>
      <c r="L18" s="22">
        <v>0</v>
      </c>
      <c r="M18" s="22">
        <v>1</v>
      </c>
      <c r="N18" s="22">
        <v>1</v>
      </c>
      <c r="O18" s="21">
        <v>0</v>
      </c>
      <c r="P18" s="21">
        <v>0</v>
      </c>
    </row>
    <row r="19" spans="7:16">
      <c r="H19" s="252">
        <f>SUM(H4:J18)</f>
        <v>78</v>
      </c>
      <c r="I19" s="253"/>
      <c r="J19" s="254"/>
      <c r="K19" s="250">
        <f>SUM(K4:L18)</f>
        <v>8</v>
      </c>
      <c r="L19" s="250"/>
      <c r="M19" s="22">
        <f>SUM(M4:M18)</f>
        <v>34</v>
      </c>
      <c r="N19" s="22">
        <f>SUM(N4:N18)</f>
        <v>9</v>
      </c>
      <c r="O19" s="22">
        <f>SUM(O4:O18)</f>
        <v>6</v>
      </c>
      <c r="P19" s="22">
        <f>SUM(P4:P18)</f>
        <v>10</v>
      </c>
    </row>
    <row r="20" spans="7:16">
      <c r="H20" s="58"/>
      <c r="I20" s="58"/>
      <c r="J20" s="58"/>
      <c r="K20" s="58"/>
      <c r="L20" s="58"/>
      <c r="M20" s="58"/>
      <c r="N20" s="58"/>
      <c r="O20" s="58"/>
      <c r="P20" s="58"/>
    </row>
    <row r="21" spans="7:16">
      <c r="G21" s="255" t="s">
        <v>104</v>
      </c>
      <c r="H21" s="255"/>
      <c r="I21" s="255"/>
      <c r="J21" s="255"/>
      <c r="K21" s="255"/>
      <c r="L21" s="255"/>
      <c r="M21" s="255"/>
    </row>
    <row r="22" spans="7:16">
      <c r="G22" s="37" t="s">
        <v>78</v>
      </c>
      <c r="H22" s="37" t="s">
        <v>22</v>
      </c>
      <c r="I22" s="37" t="s">
        <v>101</v>
      </c>
      <c r="J22" s="52" t="s">
        <v>145</v>
      </c>
      <c r="K22" s="52" t="s">
        <v>144</v>
      </c>
      <c r="L22" s="37" t="s">
        <v>103</v>
      </c>
      <c r="M22" s="37" t="s">
        <v>102</v>
      </c>
    </row>
    <row r="23" spans="7:16">
      <c r="G23" s="37" t="s">
        <v>79</v>
      </c>
      <c r="H23" s="22">
        <v>0.3</v>
      </c>
      <c r="I23" s="22">
        <v>2</v>
      </c>
      <c r="J23" s="22">
        <f t="shared" ref="J23:J39" si="0">H23</f>
        <v>0.3</v>
      </c>
      <c r="K23" s="22">
        <v>0</v>
      </c>
      <c r="L23" s="22">
        <v>0</v>
      </c>
      <c r="M23" s="22">
        <f t="shared" ref="M23:M44" si="1">H23*I23</f>
        <v>0.6</v>
      </c>
    </row>
    <row r="24" spans="7:16">
      <c r="G24" s="37" t="s">
        <v>80</v>
      </c>
      <c r="H24" s="22">
        <v>3</v>
      </c>
      <c r="I24" s="22">
        <v>2</v>
      </c>
      <c r="J24" s="22">
        <f t="shared" si="0"/>
        <v>3</v>
      </c>
      <c r="K24" s="22">
        <v>0</v>
      </c>
      <c r="L24" s="22">
        <v>0</v>
      </c>
      <c r="M24" s="22">
        <f t="shared" si="1"/>
        <v>6</v>
      </c>
    </row>
    <row r="25" spans="7:16">
      <c r="G25" s="37" t="s">
        <v>81</v>
      </c>
      <c r="H25" s="22">
        <v>0.3</v>
      </c>
      <c r="I25" s="22">
        <v>2</v>
      </c>
      <c r="J25" s="22">
        <f t="shared" si="0"/>
        <v>0.3</v>
      </c>
      <c r="K25" s="22">
        <v>0</v>
      </c>
      <c r="L25" s="22">
        <v>0</v>
      </c>
      <c r="M25" s="22">
        <f t="shared" si="1"/>
        <v>0.6</v>
      </c>
    </row>
    <row r="26" spans="7:16">
      <c r="G26" s="37" t="s">
        <v>82</v>
      </c>
      <c r="H26" s="22">
        <v>0.3</v>
      </c>
      <c r="I26" s="22">
        <v>2</v>
      </c>
      <c r="J26" s="22">
        <f t="shared" si="0"/>
        <v>0.3</v>
      </c>
      <c r="K26" s="22">
        <v>0</v>
      </c>
      <c r="L26" s="22">
        <v>0</v>
      </c>
      <c r="M26" s="22">
        <f t="shared" si="1"/>
        <v>0.6</v>
      </c>
    </row>
    <row r="27" spans="7:16">
      <c r="G27" s="37" t="s">
        <v>83</v>
      </c>
      <c r="H27" s="22">
        <v>1</v>
      </c>
      <c r="I27" s="22">
        <v>2</v>
      </c>
      <c r="J27" s="22">
        <f t="shared" si="0"/>
        <v>1</v>
      </c>
      <c r="K27" s="22">
        <v>0</v>
      </c>
      <c r="L27" s="22">
        <v>0</v>
      </c>
      <c r="M27" s="22">
        <f t="shared" si="1"/>
        <v>2</v>
      </c>
    </row>
    <row r="28" spans="7:16">
      <c r="G28" s="37" t="s">
        <v>84</v>
      </c>
      <c r="H28" s="22">
        <v>1</v>
      </c>
      <c r="I28" s="22">
        <v>2</v>
      </c>
      <c r="J28" s="22">
        <f t="shared" si="0"/>
        <v>1</v>
      </c>
      <c r="K28" s="22">
        <v>0</v>
      </c>
      <c r="L28" s="22">
        <v>0</v>
      </c>
      <c r="M28" s="22">
        <f t="shared" si="1"/>
        <v>2</v>
      </c>
    </row>
    <row r="29" spans="7:16">
      <c r="G29" s="37" t="s">
        <v>85</v>
      </c>
      <c r="H29" s="22">
        <v>1.5</v>
      </c>
      <c r="I29" s="22">
        <v>2</v>
      </c>
      <c r="J29" s="22">
        <f t="shared" si="0"/>
        <v>1.5</v>
      </c>
      <c r="K29" s="22">
        <v>0</v>
      </c>
      <c r="L29" s="22">
        <v>0</v>
      </c>
      <c r="M29" s="22">
        <f t="shared" si="1"/>
        <v>3</v>
      </c>
    </row>
    <row r="30" spans="7:16">
      <c r="G30" s="37" t="s">
        <v>86</v>
      </c>
      <c r="H30" s="22">
        <v>1.5</v>
      </c>
      <c r="I30" s="22">
        <v>2</v>
      </c>
      <c r="J30" s="22">
        <f t="shared" si="0"/>
        <v>1.5</v>
      </c>
      <c r="K30" s="22">
        <v>0</v>
      </c>
      <c r="L30" s="22">
        <v>0</v>
      </c>
      <c r="M30" s="22">
        <f t="shared" si="1"/>
        <v>3</v>
      </c>
    </row>
    <row r="31" spans="7:16">
      <c r="G31" s="37" t="s">
        <v>87</v>
      </c>
      <c r="H31" s="22">
        <v>1.9</v>
      </c>
      <c r="I31" s="22">
        <v>2</v>
      </c>
      <c r="J31" s="22">
        <f t="shared" si="0"/>
        <v>1.9</v>
      </c>
      <c r="K31" s="22">
        <v>0</v>
      </c>
      <c r="L31" s="22">
        <v>0</v>
      </c>
      <c r="M31" s="22">
        <f t="shared" si="1"/>
        <v>3.8</v>
      </c>
    </row>
    <row r="32" spans="7:16">
      <c r="G32" s="37" t="s">
        <v>88</v>
      </c>
      <c r="H32" s="22">
        <v>1.9</v>
      </c>
      <c r="I32" s="22">
        <v>2</v>
      </c>
      <c r="J32" s="22">
        <f t="shared" si="0"/>
        <v>1.9</v>
      </c>
      <c r="K32" s="22">
        <v>0</v>
      </c>
      <c r="L32" s="22">
        <v>0</v>
      </c>
      <c r="M32" s="22">
        <f t="shared" si="1"/>
        <v>3.8</v>
      </c>
    </row>
    <row r="33" spans="7:13">
      <c r="G33" s="37" t="s">
        <v>89</v>
      </c>
      <c r="H33" s="22">
        <v>4.0999999999999996</v>
      </c>
      <c r="I33" s="22">
        <v>2</v>
      </c>
      <c r="J33" s="22">
        <f t="shared" si="0"/>
        <v>4.0999999999999996</v>
      </c>
      <c r="K33" s="22">
        <v>0</v>
      </c>
      <c r="L33" s="22">
        <v>0</v>
      </c>
      <c r="M33" s="22">
        <f t="shared" si="1"/>
        <v>8.1999999999999993</v>
      </c>
    </row>
    <row r="34" spans="7:13">
      <c r="G34" s="37" t="s">
        <v>90</v>
      </c>
      <c r="H34" s="22">
        <v>4.55</v>
      </c>
      <c r="I34" s="22">
        <v>2</v>
      </c>
      <c r="J34" s="22">
        <f t="shared" si="0"/>
        <v>4.55</v>
      </c>
      <c r="K34" s="22">
        <v>0</v>
      </c>
      <c r="L34" s="22">
        <v>0</v>
      </c>
      <c r="M34" s="22">
        <f t="shared" si="1"/>
        <v>9.1</v>
      </c>
    </row>
    <row r="35" spans="7:13">
      <c r="G35" s="37" t="s">
        <v>91</v>
      </c>
      <c r="H35" s="22">
        <v>0.3</v>
      </c>
      <c r="I35" s="22">
        <v>2</v>
      </c>
      <c r="J35" s="22">
        <f t="shared" si="0"/>
        <v>0.3</v>
      </c>
      <c r="K35" s="22">
        <v>0</v>
      </c>
      <c r="L35" s="22">
        <v>0</v>
      </c>
      <c r="M35" s="22">
        <f t="shared" si="1"/>
        <v>0.6</v>
      </c>
    </row>
    <row r="36" spans="7:13">
      <c r="G36" s="37" t="s">
        <v>92</v>
      </c>
      <c r="H36" s="22">
        <v>0.45</v>
      </c>
      <c r="I36" s="22">
        <v>2</v>
      </c>
      <c r="J36" s="22">
        <f t="shared" si="0"/>
        <v>0.45</v>
      </c>
      <c r="K36" s="22">
        <v>0</v>
      </c>
      <c r="L36" s="22">
        <v>0</v>
      </c>
      <c r="M36" s="22">
        <f t="shared" si="1"/>
        <v>0.9</v>
      </c>
    </row>
    <row r="37" spans="7:13">
      <c r="G37" s="37" t="s">
        <v>93</v>
      </c>
      <c r="H37" s="22">
        <v>1.3</v>
      </c>
      <c r="I37" s="22">
        <v>2</v>
      </c>
      <c r="J37" s="22">
        <f t="shared" si="0"/>
        <v>1.3</v>
      </c>
      <c r="K37" s="22">
        <v>0</v>
      </c>
      <c r="L37" s="22">
        <v>0</v>
      </c>
      <c r="M37" s="22">
        <f t="shared" si="1"/>
        <v>2.6</v>
      </c>
    </row>
    <row r="38" spans="7:13">
      <c r="G38" s="37" t="s">
        <v>94</v>
      </c>
      <c r="H38" s="22">
        <v>0.9</v>
      </c>
      <c r="I38" s="22">
        <v>2</v>
      </c>
      <c r="J38" s="22">
        <f t="shared" si="0"/>
        <v>0.9</v>
      </c>
      <c r="K38" s="22">
        <v>0</v>
      </c>
      <c r="L38" s="22">
        <v>0</v>
      </c>
      <c r="M38" s="22">
        <f t="shared" si="1"/>
        <v>1.8</v>
      </c>
    </row>
    <row r="39" spans="7:13">
      <c r="G39" s="37" t="s">
        <v>95</v>
      </c>
      <c r="H39" s="22">
        <v>0.9</v>
      </c>
      <c r="I39" s="22">
        <v>2</v>
      </c>
      <c r="J39" s="22">
        <f t="shared" si="0"/>
        <v>0.9</v>
      </c>
      <c r="K39" s="22">
        <v>0</v>
      </c>
      <c r="L39" s="22">
        <v>0</v>
      </c>
      <c r="M39" s="22">
        <f t="shared" si="1"/>
        <v>1.8</v>
      </c>
    </row>
    <row r="40" spans="7:13">
      <c r="G40" s="37" t="s">
        <v>96</v>
      </c>
      <c r="H40" s="22">
        <v>8.5500000000000007</v>
      </c>
      <c r="I40" s="22">
        <v>8</v>
      </c>
      <c r="J40" s="22">
        <v>0</v>
      </c>
      <c r="K40" s="22">
        <f>H40</f>
        <v>8.5500000000000007</v>
      </c>
      <c r="L40" s="22">
        <v>0</v>
      </c>
      <c r="M40" s="22">
        <f t="shared" si="1"/>
        <v>68.400000000000006</v>
      </c>
    </row>
    <row r="41" spans="7:13">
      <c r="G41" s="37" t="s">
        <v>97</v>
      </c>
      <c r="H41" s="22">
        <v>4.4000000000000004</v>
      </c>
      <c r="I41" s="22">
        <v>2</v>
      </c>
      <c r="J41" s="22">
        <v>0</v>
      </c>
      <c r="K41" s="22">
        <f>H41</f>
        <v>4.4000000000000004</v>
      </c>
      <c r="L41" s="22">
        <v>0</v>
      </c>
      <c r="M41" s="22">
        <f t="shared" si="1"/>
        <v>8.8000000000000007</v>
      </c>
    </row>
    <row r="42" spans="7:13">
      <c r="G42" s="37" t="s">
        <v>98</v>
      </c>
      <c r="H42" s="22">
        <v>14.9</v>
      </c>
      <c r="I42" s="22">
        <v>2</v>
      </c>
      <c r="J42" s="22">
        <v>0</v>
      </c>
      <c r="K42" s="22">
        <f>H42</f>
        <v>14.9</v>
      </c>
      <c r="L42" s="22">
        <v>0</v>
      </c>
      <c r="M42" s="22">
        <f t="shared" si="1"/>
        <v>29.8</v>
      </c>
    </row>
    <row r="43" spans="7:13">
      <c r="G43" s="37" t="s">
        <v>99</v>
      </c>
      <c r="H43" s="22">
        <v>8.9499999999999993</v>
      </c>
      <c r="I43" s="22">
        <v>2</v>
      </c>
      <c r="J43" s="22">
        <v>0</v>
      </c>
      <c r="K43" s="22">
        <f>H43</f>
        <v>8.9499999999999993</v>
      </c>
      <c r="L43" s="22">
        <v>0</v>
      </c>
      <c r="M43" s="22">
        <f t="shared" si="1"/>
        <v>17.899999999999999</v>
      </c>
    </row>
    <row r="44" spans="7:13">
      <c r="G44" s="52" t="s">
        <v>100</v>
      </c>
      <c r="H44" s="22">
        <v>4.2</v>
      </c>
      <c r="I44" s="22">
        <f>SUM(I23:I43)</f>
        <v>48</v>
      </c>
      <c r="J44" s="22">
        <v>0</v>
      </c>
      <c r="K44" s="22">
        <f>H44</f>
        <v>4.2</v>
      </c>
      <c r="L44" s="22">
        <v>0</v>
      </c>
      <c r="M44" s="22">
        <f t="shared" si="1"/>
        <v>201.60000000000002</v>
      </c>
    </row>
    <row r="45" spans="7:13">
      <c r="J45" s="40">
        <f>ROUNDUP(SUM(J23:J44),0)</f>
        <v>26</v>
      </c>
      <c r="K45" s="40">
        <f>ROUNDUP(SUM(K23:K44),0)</f>
        <v>41</v>
      </c>
      <c r="L45" s="40">
        <v>0</v>
      </c>
      <c r="M45" s="40">
        <f>ROUNDUP(SUM(M23:M44),0)</f>
        <v>377</v>
      </c>
    </row>
    <row r="49" spans="7:13">
      <c r="G49" s="248" t="s">
        <v>105</v>
      </c>
      <c r="H49" s="248"/>
      <c r="I49" s="248"/>
      <c r="J49" s="248"/>
      <c r="K49" s="248"/>
      <c r="L49" s="248"/>
      <c r="M49" s="248"/>
    </row>
    <row r="50" spans="7:13">
      <c r="G50" s="37" t="s">
        <v>78</v>
      </c>
      <c r="H50" s="37" t="s">
        <v>22</v>
      </c>
      <c r="I50" s="37" t="s">
        <v>101</v>
      </c>
      <c r="J50" s="37" t="s">
        <v>144</v>
      </c>
      <c r="K50" s="37" t="s">
        <v>145</v>
      </c>
      <c r="L50" s="37" t="s">
        <v>103</v>
      </c>
      <c r="M50" s="37" t="s">
        <v>102</v>
      </c>
    </row>
    <row r="51" spans="7:13">
      <c r="G51" s="37" t="s">
        <v>106</v>
      </c>
      <c r="H51" s="22">
        <f>18.2+1</f>
        <v>19.2</v>
      </c>
      <c r="I51" s="22">
        <v>3</v>
      </c>
      <c r="J51" s="22">
        <v>0</v>
      </c>
      <c r="K51" s="22">
        <v>0</v>
      </c>
      <c r="L51" s="22">
        <f>H51</f>
        <v>19.2</v>
      </c>
      <c r="M51" s="22">
        <f>I51*(J51+K51+L51)</f>
        <v>57.599999999999994</v>
      </c>
    </row>
    <row r="52" spans="7:13">
      <c r="G52" s="37" t="s">
        <v>107</v>
      </c>
      <c r="H52" s="22">
        <f>14.4+1.5</f>
        <v>15.9</v>
      </c>
      <c r="I52" s="22">
        <v>3</v>
      </c>
      <c r="J52" s="22">
        <v>0</v>
      </c>
      <c r="K52" s="22">
        <v>0</v>
      </c>
      <c r="L52" s="22">
        <f t="shared" ref="L52:L101" si="2">H52</f>
        <v>15.9</v>
      </c>
      <c r="M52" s="22">
        <f t="shared" ref="M52:M101" si="3">I52*(J52+K52+L52)</f>
        <v>47.7</v>
      </c>
    </row>
    <row r="53" spans="7:13">
      <c r="G53" s="37" t="s">
        <v>108</v>
      </c>
      <c r="H53" s="22">
        <f>11.7+1.5</f>
        <v>13.2</v>
      </c>
      <c r="I53" s="22">
        <v>3</v>
      </c>
      <c r="J53" s="22">
        <v>0</v>
      </c>
      <c r="K53" s="22">
        <v>0</v>
      </c>
      <c r="L53" s="22">
        <f t="shared" si="2"/>
        <v>13.2</v>
      </c>
      <c r="M53" s="22">
        <f t="shared" si="3"/>
        <v>39.599999999999994</v>
      </c>
    </row>
    <row r="54" spans="7:13">
      <c r="G54" s="37" t="s">
        <v>109</v>
      </c>
      <c r="H54" s="22">
        <f>15+1</f>
        <v>16</v>
      </c>
      <c r="I54" s="22">
        <v>3</v>
      </c>
      <c r="J54" s="22">
        <v>0</v>
      </c>
      <c r="K54" s="22">
        <v>0</v>
      </c>
      <c r="L54" s="22">
        <f t="shared" si="2"/>
        <v>16</v>
      </c>
      <c r="M54" s="22">
        <f t="shared" si="3"/>
        <v>48</v>
      </c>
    </row>
    <row r="55" spans="7:13">
      <c r="G55" s="37" t="s">
        <v>110</v>
      </c>
      <c r="H55" s="22">
        <f>14.7+1.5</f>
        <v>16.2</v>
      </c>
      <c r="I55" s="22">
        <v>3</v>
      </c>
      <c r="J55" s="22">
        <v>0</v>
      </c>
      <c r="K55" s="22">
        <v>0</v>
      </c>
      <c r="L55" s="22">
        <f t="shared" si="2"/>
        <v>16.2</v>
      </c>
      <c r="M55" s="22">
        <f t="shared" si="3"/>
        <v>48.599999999999994</v>
      </c>
    </row>
    <row r="56" spans="7:13">
      <c r="G56" s="37" t="s">
        <v>111</v>
      </c>
      <c r="H56" s="22">
        <f>12+1.5</f>
        <v>13.5</v>
      </c>
      <c r="I56" s="22">
        <v>3</v>
      </c>
      <c r="J56" s="22">
        <v>0</v>
      </c>
      <c r="K56" s="22">
        <v>0</v>
      </c>
      <c r="L56" s="22">
        <f t="shared" si="2"/>
        <v>13.5</v>
      </c>
      <c r="M56" s="22">
        <f t="shared" si="3"/>
        <v>40.5</v>
      </c>
    </row>
    <row r="57" spans="7:13">
      <c r="G57" s="37" t="s">
        <v>112</v>
      </c>
      <c r="H57" s="22">
        <f>13.9+1.5</f>
        <v>15.4</v>
      </c>
      <c r="I57" s="22">
        <v>3</v>
      </c>
      <c r="J57" s="22">
        <v>0</v>
      </c>
      <c r="K57" s="22">
        <v>0</v>
      </c>
      <c r="L57" s="22">
        <f t="shared" si="2"/>
        <v>15.4</v>
      </c>
      <c r="M57" s="22">
        <f t="shared" si="3"/>
        <v>46.2</v>
      </c>
    </row>
    <row r="58" spans="7:13">
      <c r="G58" s="37" t="s">
        <v>113</v>
      </c>
      <c r="H58" s="22">
        <f>14.6+1</f>
        <v>15.6</v>
      </c>
      <c r="I58" s="22">
        <v>3</v>
      </c>
      <c r="J58" s="22">
        <v>0</v>
      </c>
      <c r="K58" s="22">
        <v>0</v>
      </c>
      <c r="L58" s="22">
        <f t="shared" si="2"/>
        <v>15.6</v>
      </c>
      <c r="M58" s="22">
        <f t="shared" si="3"/>
        <v>46.8</v>
      </c>
    </row>
    <row r="59" spans="7:13">
      <c r="G59" s="37" t="s">
        <v>114</v>
      </c>
      <c r="H59" s="22">
        <f>9+1.5</f>
        <v>10.5</v>
      </c>
      <c r="I59" s="22">
        <v>3</v>
      </c>
      <c r="J59" s="22">
        <v>0</v>
      </c>
      <c r="K59" s="22">
        <v>0</v>
      </c>
      <c r="L59" s="22">
        <f t="shared" si="2"/>
        <v>10.5</v>
      </c>
      <c r="M59" s="22">
        <f t="shared" si="3"/>
        <v>31.5</v>
      </c>
    </row>
    <row r="60" spans="7:13">
      <c r="G60" s="37" t="s">
        <v>115</v>
      </c>
      <c r="H60" s="22">
        <f>6.65+1.5</f>
        <v>8.15</v>
      </c>
      <c r="I60" s="22">
        <v>3</v>
      </c>
      <c r="J60" s="22">
        <v>0</v>
      </c>
      <c r="K60" s="22">
        <v>0</v>
      </c>
      <c r="L60" s="22">
        <f t="shared" si="2"/>
        <v>8.15</v>
      </c>
      <c r="M60" s="22">
        <f t="shared" si="3"/>
        <v>24.450000000000003</v>
      </c>
    </row>
    <row r="61" spans="7:13">
      <c r="G61" s="37" t="s">
        <v>116</v>
      </c>
      <c r="H61" s="22">
        <f>6.2+1.5</f>
        <v>7.7</v>
      </c>
      <c r="I61" s="22">
        <v>3</v>
      </c>
      <c r="J61" s="22">
        <v>0</v>
      </c>
      <c r="K61" s="22">
        <v>0</v>
      </c>
      <c r="L61" s="22">
        <f t="shared" si="2"/>
        <v>7.7</v>
      </c>
      <c r="M61" s="22">
        <f t="shared" si="3"/>
        <v>23.1</v>
      </c>
    </row>
    <row r="62" spans="7:13">
      <c r="G62" s="37" t="s">
        <v>117</v>
      </c>
      <c r="H62" s="22">
        <f>6.95+1.5</f>
        <v>8.4499999999999993</v>
      </c>
      <c r="I62" s="22">
        <v>3</v>
      </c>
      <c r="J62" s="22">
        <v>0</v>
      </c>
      <c r="K62" s="22">
        <v>0</v>
      </c>
      <c r="L62" s="22">
        <f t="shared" si="2"/>
        <v>8.4499999999999993</v>
      </c>
      <c r="M62" s="22">
        <f t="shared" si="3"/>
        <v>25.349999999999998</v>
      </c>
    </row>
    <row r="63" spans="7:13">
      <c r="G63" s="37" t="s">
        <v>118</v>
      </c>
      <c r="H63" s="22">
        <f>6.95+1.5</f>
        <v>8.4499999999999993</v>
      </c>
      <c r="I63" s="22">
        <v>3</v>
      </c>
      <c r="J63" s="22">
        <v>0</v>
      </c>
      <c r="K63" s="22">
        <v>0</v>
      </c>
      <c r="L63" s="22">
        <f t="shared" si="2"/>
        <v>8.4499999999999993</v>
      </c>
      <c r="M63" s="22">
        <f t="shared" si="3"/>
        <v>25.349999999999998</v>
      </c>
    </row>
    <row r="64" spans="7:13">
      <c r="G64" s="37" t="s">
        <v>119</v>
      </c>
      <c r="H64" s="22">
        <f>9+1.5</f>
        <v>10.5</v>
      </c>
      <c r="I64" s="22">
        <v>3</v>
      </c>
      <c r="J64" s="22">
        <v>0</v>
      </c>
      <c r="K64" s="22">
        <v>0</v>
      </c>
      <c r="L64" s="22">
        <f t="shared" si="2"/>
        <v>10.5</v>
      </c>
      <c r="M64" s="22">
        <f t="shared" si="3"/>
        <v>31.5</v>
      </c>
    </row>
    <row r="65" spans="7:13">
      <c r="G65" s="37" t="s">
        <v>120</v>
      </c>
      <c r="H65" s="22">
        <f>9+1.5</f>
        <v>10.5</v>
      </c>
      <c r="I65" s="22">
        <v>3</v>
      </c>
      <c r="J65" s="22">
        <v>0</v>
      </c>
      <c r="K65" s="22">
        <v>0</v>
      </c>
      <c r="L65" s="22">
        <f t="shared" si="2"/>
        <v>10.5</v>
      </c>
      <c r="M65" s="22">
        <f t="shared" si="3"/>
        <v>31.5</v>
      </c>
    </row>
    <row r="66" spans="7:13">
      <c r="G66" s="37" t="s">
        <v>121</v>
      </c>
      <c r="H66" s="22">
        <f>11.55+1.5</f>
        <v>13.05</v>
      </c>
      <c r="I66" s="22">
        <v>3</v>
      </c>
      <c r="J66" s="22">
        <v>0</v>
      </c>
      <c r="K66" s="22">
        <v>0</v>
      </c>
      <c r="L66" s="22">
        <f t="shared" si="2"/>
        <v>13.05</v>
      </c>
      <c r="M66" s="22">
        <f t="shared" si="3"/>
        <v>39.150000000000006</v>
      </c>
    </row>
    <row r="67" spans="7:13">
      <c r="G67" s="37" t="s">
        <v>122</v>
      </c>
      <c r="H67" s="22">
        <f>12.8+1.5</f>
        <v>14.3</v>
      </c>
      <c r="I67" s="22">
        <v>3</v>
      </c>
      <c r="J67" s="22">
        <v>0</v>
      </c>
      <c r="K67" s="22">
        <v>0</v>
      </c>
      <c r="L67" s="22">
        <f t="shared" si="2"/>
        <v>14.3</v>
      </c>
      <c r="M67" s="22">
        <f t="shared" si="3"/>
        <v>42.900000000000006</v>
      </c>
    </row>
    <row r="68" spans="7:13">
      <c r="G68" s="37" t="s">
        <v>123</v>
      </c>
      <c r="H68" s="22">
        <f>12.15+1</f>
        <v>13.15</v>
      </c>
      <c r="I68" s="22">
        <v>3</v>
      </c>
      <c r="J68" s="22">
        <v>0</v>
      </c>
      <c r="K68" s="22">
        <v>0</v>
      </c>
      <c r="L68" s="22">
        <f t="shared" si="2"/>
        <v>13.15</v>
      </c>
      <c r="M68" s="22">
        <f t="shared" si="3"/>
        <v>39.450000000000003</v>
      </c>
    </row>
    <row r="69" spans="7:13">
      <c r="G69" s="37" t="s">
        <v>124</v>
      </c>
      <c r="H69" s="22">
        <f>12.4+1</f>
        <v>13.4</v>
      </c>
      <c r="I69" s="22">
        <v>3</v>
      </c>
      <c r="J69" s="22">
        <v>0</v>
      </c>
      <c r="K69" s="22">
        <v>0</v>
      </c>
      <c r="L69" s="22">
        <f t="shared" si="2"/>
        <v>13.4</v>
      </c>
      <c r="M69" s="22">
        <f t="shared" si="3"/>
        <v>40.200000000000003</v>
      </c>
    </row>
    <row r="70" spans="7:13">
      <c r="G70" s="37" t="s">
        <v>125</v>
      </c>
      <c r="H70" s="22">
        <f>14.25+1</f>
        <v>15.25</v>
      </c>
      <c r="I70" s="22">
        <v>3</v>
      </c>
      <c r="J70" s="22">
        <v>0</v>
      </c>
      <c r="K70" s="22">
        <v>0</v>
      </c>
      <c r="L70" s="22">
        <f t="shared" si="2"/>
        <v>15.25</v>
      </c>
      <c r="M70" s="22">
        <f t="shared" si="3"/>
        <v>45.75</v>
      </c>
    </row>
    <row r="71" spans="7:13">
      <c r="G71" s="37" t="s">
        <v>126</v>
      </c>
      <c r="H71" s="22">
        <f>14.45+1</f>
        <v>15.45</v>
      </c>
      <c r="I71" s="22">
        <v>3</v>
      </c>
      <c r="J71" s="22">
        <v>0</v>
      </c>
      <c r="K71" s="22">
        <v>0</v>
      </c>
      <c r="L71" s="22">
        <f t="shared" si="2"/>
        <v>15.45</v>
      </c>
      <c r="M71" s="22">
        <f t="shared" si="3"/>
        <v>46.349999999999994</v>
      </c>
    </row>
    <row r="72" spans="7:13">
      <c r="G72" s="37" t="s">
        <v>127</v>
      </c>
      <c r="H72" s="22">
        <f>13.9+1</f>
        <v>14.9</v>
      </c>
      <c r="I72" s="22">
        <v>3</v>
      </c>
      <c r="J72" s="22">
        <v>0</v>
      </c>
      <c r="K72" s="22">
        <v>0</v>
      </c>
      <c r="L72" s="22">
        <f t="shared" si="2"/>
        <v>14.9</v>
      </c>
      <c r="M72" s="22">
        <f t="shared" si="3"/>
        <v>44.7</v>
      </c>
    </row>
    <row r="73" spans="7:13">
      <c r="G73" s="37" t="s">
        <v>128</v>
      </c>
      <c r="H73" s="22">
        <f>14.15+1</f>
        <v>15.15</v>
      </c>
      <c r="I73" s="22">
        <v>3</v>
      </c>
      <c r="J73" s="22">
        <v>0</v>
      </c>
      <c r="K73" s="22">
        <v>0</v>
      </c>
      <c r="L73" s="22">
        <f t="shared" si="2"/>
        <v>15.15</v>
      </c>
      <c r="M73" s="22">
        <f t="shared" si="3"/>
        <v>45.45</v>
      </c>
    </row>
    <row r="74" spans="7:13">
      <c r="G74" s="37" t="s">
        <v>129</v>
      </c>
      <c r="H74" s="22">
        <f>15.65+1</f>
        <v>16.649999999999999</v>
      </c>
      <c r="I74" s="22">
        <v>3</v>
      </c>
      <c r="J74" s="22">
        <v>0</v>
      </c>
      <c r="K74" s="22">
        <v>0</v>
      </c>
      <c r="L74" s="22">
        <f t="shared" si="2"/>
        <v>16.649999999999999</v>
      </c>
      <c r="M74" s="22">
        <f t="shared" si="3"/>
        <v>49.949999999999996</v>
      </c>
    </row>
    <row r="75" spans="7:13">
      <c r="G75" s="37" t="s">
        <v>130</v>
      </c>
      <c r="H75" s="22">
        <f>15.85+1</f>
        <v>16.850000000000001</v>
      </c>
      <c r="I75" s="22">
        <v>3</v>
      </c>
      <c r="J75" s="22">
        <v>0</v>
      </c>
      <c r="K75" s="22">
        <v>0</v>
      </c>
      <c r="L75" s="22">
        <f t="shared" si="2"/>
        <v>16.850000000000001</v>
      </c>
      <c r="M75" s="22">
        <f t="shared" si="3"/>
        <v>50.550000000000004</v>
      </c>
    </row>
    <row r="76" spans="7:13">
      <c r="G76" s="37" t="s">
        <v>131</v>
      </c>
      <c r="H76" s="22">
        <f>17.4+1</f>
        <v>18.399999999999999</v>
      </c>
      <c r="I76" s="22">
        <v>3</v>
      </c>
      <c r="J76" s="22">
        <v>0</v>
      </c>
      <c r="K76" s="22">
        <v>0</v>
      </c>
      <c r="L76" s="22">
        <f t="shared" si="2"/>
        <v>18.399999999999999</v>
      </c>
      <c r="M76" s="22">
        <f t="shared" si="3"/>
        <v>55.199999999999996</v>
      </c>
    </row>
    <row r="77" spans="7:13">
      <c r="G77" s="37" t="s">
        <v>132</v>
      </c>
      <c r="H77" s="22">
        <f>17.6+1</f>
        <v>18.600000000000001</v>
      </c>
      <c r="I77" s="22">
        <v>3</v>
      </c>
      <c r="J77" s="22">
        <v>0</v>
      </c>
      <c r="K77" s="22">
        <v>0</v>
      </c>
      <c r="L77" s="22">
        <f t="shared" si="2"/>
        <v>18.600000000000001</v>
      </c>
      <c r="M77" s="22">
        <f t="shared" si="3"/>
        <v>55.800000000000004</v>
      </c>
    </row>
    <row r="78" spans="7:13">
      <c r="G78" s="37" t="s">
        <v>133</v>
      </c>
      <c r="H78" s="22">
        <f>19.4+1</f>
        <v>20.399999999999999</v>
      </c>
      <c r="I78" s="22">
        <v>3</v>
      </c>
      <c r="J78" s="22">
        <v>0</v>
      </c>
      <c r="K78" s="22">
        <v>0</v>
      </c>
      <c r="L78" s="22">
        <f t="shared" si="2"/>
        <v>20.399999999999999</v>
      </c>
      <c r="M78" s="22">
        <f t="shared" si="3"/>
        <v>61.199999999999996</v>
      </c>
    </row>
    <row r="79" spans="7:13">
      <c r="G79" s="37" t="s">
        <v>134</v>
      </c>
      <c r="H79" s="22">
        <f>20.3+1</f>
        <v>21.3</v>
      </c>
      <c r="I79" s="22">
        <v>3</v>
      </c>
      <c r="J79" s="22">
        <v>0</v>
      </c>
      <c r="K79" s="22">
        <v>0</v>
      </c>
      <c r="L79" s="22">
        <f t="shared" si="2"/>
        <v>21.3</v>
      </c>
      <c r="M79" s="22">
        <f t="shared" si="3"/>
        <v>63.900000000000006</v>
      </c>
    </row>
    <row r="80" spans="7:13">
      <c r="G80" s="37" t="s">
        <v>135</v>
      </c>
      <c r="H80" s="22">
        <f>20.7+1</f>
        <v>21.7</v>
      </c>
      <c r="I80" s="22">
        <v>3</v>
      </c>
      <c r="J80" s="22">
        <v>0</v>
      </c>
      <c r="K80" s="22">
        <v>0</v>
      </c>
      <c r="L80" s="22">
        <f t="shared" si="2"/>
        <v>21.7</v>
      </c>
      <c r="M80" s="22">
        <f t="shared" si="3"/>
        <v>65.099999999999994</v>
      </c>
    </row>
    <row r="81" spans="7:13">
      <c r="G81" s="37" t="s">
        <v>136</v>
      </c>
      <c r="H81" s="22">
        <f>23.15+1.5</f>
        <v>24.65</v>
      </c>
      <c r="I81" s="22">
        <v>3</v>
      </c>
      <c r="J81" s="22">
        <v>0</v>
      </c>
      <c r="K81" s="22">
        <v>0</v>
      </c>
      <c r="L81" s="22">
        <f t="shared" si="2"/>
        <v>24.65</v>
      </c>
      <c r="M81" s="22">
        <f t="shared" si="3"/>
        <v>73.949999999999989</v>
      </c>
    </row>
    <row r="82" spans="7:13">
      <c r="G82" s="37" t="s">
        <v>137</v>
      </c>
      <c r="H82" s="22">
        <f>25.75+1.5</f>
        <v>27.25</v>
      </c>
      <c r="I82" s="22">
        <v>3</v>
      </c>
      <c r="J82" s="22">
        <v>0</v>
      </c>
      <c r="K82" s="22">
        <v>0</v>
      </c>
      <c r="L82" s="22">
        <f t="shared" si="2"/>
        <v>27.25</v>
      </c>
      <c r="M82" s="22">
        <f t="shared" si="3"/>
        <v>81.75</v>
      </c>
    </row>
    <row r="83" spans="7:13">
      <c r="G83" s="37" t="s">
        <v>138</v>
      </c>
      <c r="H83" s="22">
        <f>8.05+1.5</f>
        <v>9.5500000000000007</v>
      </c>
      <c r="I83" s="22">
        <v>3</v>
      </c>
      <c r="J83" s="22">
        <v>0</v>
      </c>
      <c r="K83" s="22">
        <v>0</v>
      </c>
      <c r="L83" s="22">
        <f t="shared" si="2"/>
        <v>9.5500000000000007</v>
      </c>
      <c r="M83" s="22">
        <f t="shared" si="3"/>
        <v>28.650000000000002</v>
      </c>
    </row>
    <row r="84" spans="7:13">
      <c r="G84" s="37" t="s">
        <v>139</v>
      </c>
      <c r="H84" s="22">
        <f>11.35+1.5</f>
        <v>12.85</v>
      </c>
      <c r="I84" s="22">
        <v>3</v>
      </c>
      <c r="J84" s="22">
        <v>0</v>
      </c>
      <c r="K84" s="22">
        <v>0</v>
      </c>
      <c r="L84" s="22">
        <f t="shared" si="2"/>
        <v>12.85</v>
      </c>
      <c r="M84" s="22">
        <f t="shared" si="3"/>
        <v>38.549999999999997</v>
      </c>
    </row>
    <row r="85" spans="7:13">
      <c r="G85" s="37" t="s">
        <v>140</v>
      </c>
      <c r="H85" s="22">
        <f>13.15+1.5</f>
        <v>14.65</v>
      </c>
      <c r="I85" s="22">
        <v>3</v>
      </c>
      <c r="J85" s="22">
        <v>0</v>
      </c>
      <c r="K85" s="22">
        <v>0</v>
      </c>
      <c r="L85" s="22">
        <f t="shared" si="2"/>
        <v>14.65</v>
      </c>
      <c r="M85" s="22">
        <f t="shared" si="3"/>
        <v>43.95</v>
      </c>
    </row>
    <row r="86" spans="7:13">
      <c r="G86" s="37" t="s">
        <v>141</v>
      </c>
      <c r="H86" s="22">
        <f>13.4+1</f>
        <v>14.4</v>
      </c>
      <c r="I86" s="22">
        <v>3</v>
      </c>
      <c r="J86" s="22">
        <v>0</v>
      </c>
      <c r="K86" s="22">
        <v>0</v>
      </c>
      <c r="L86" s="22">
        <f t="shared" si="2"/>
        <v>14.4</v>
      </c>
      <c r="M86" s="22">
        <f t="shared" si="3"/>
        <v>43.2</v>
      </c>
    </row>
    <row r="87" spans="7:13">
      <c r="G87" s="37" t="s">
        <v>142</v>
      </c>
      <c r="H87" s="22">
        <f>13.7+1</f>
        <v>14.7</v>
      </c>
      <c r="I87" s="22">
        <v>3</v>
      </c>
      <c r="J87" s="22">
        <v>0</v>
      </c>
      <c r="K87" s="22">
        <v>0</v>
      </c>
      <c r="L87" s="22">
        <f t="shared" si="2"/>
        <v>14.7</v>
      </c>
      <c r="M87" s="22">
        <f t="shared" si="3"/>
        <v>44.099999999999994</v>
      </c>
    </row>
    <row r="88" spans="7:13">
      <c r="G88" s="37" t="s">
        <v>143</v>
      </c>
      <c r="H88" s="22">
        <f>13.6+1.5</f>
        <v>15.1</v>
      </c>
      <c r="I88" s="22">
        <v>3</v>
      </c>
      <c r="J88" s="22">
        <v>0</v>
      </c>
      <c r="K88" s="22">
        <v>0</v>
      </c>
      <c r="L88" s="22">
        <f t="shared" si="2"/>
        <v>15.1</v>
      </c>
      <c r="M88" s="22">
        <f t="shared" si="3"/>
        <v>45.3</v>
      </c>
    </row>
    <row r="89" spans="7:13">
      <c r="G89" s="52" t="s">
        <v>197</v>
      </c>
      <c r="H89" s="22">
        <f>13.9+1.5</f>
        <v>15.4</v>
      </c>
      <c r="I89" s="22">
        <v>3</v>
      </c>
      <c r="J89" s="22">
        <v>0</v>
      </c>
      <c r="K89" s="22">
        <v>0</v>
      </c>
      <c r="L89" s="22">
        <f t="shared" si="2"/>
        <v>15.4</v>
      </c>
      <c r="M89" s="22">
        <f t="shared" si="3"/>
        <v>46.2</v>
      </c>
    </row>
    <row r="90" spans="7:13">
      <c r="G90" s="52" t="s">
        <v>198</v>
      </c>
      <c r="H90" s="22">
        <f>16.4+1.5</f>
        <v>17.899999999999999</v>
      </c>
      <c r="I90" s="22">
        <v>3</v>
      </c>
      <c r="J90" s="22">
        <v>0</v>
      </c>
      <c r="K90" s="22">
        <v>0</v>
      </c>
      <c r="L90" s="22">
        <f t="shared" si="2"/>
        <v>17.899999999999999</v>
      </c>
      <c r="M90" s="22">
        <f t="shared" si="3"/>
        <v>53.699999999999996</v>
      </c>
    </row>
    <row r="91" spans="7:13">
      <c r="G91" s="52" t="s">
        <v>199</v>
      </c>
      <c r="H91" s="22">
        <f>2.3+1</f>
        <v>3.3</v>
      </c>
      <c r="I91" s="22">
        <v>3</v>
      </c>
      <c r="J91" s="22">
        <v>0</v>
      </c>
      <c r="K91" s="22">
        <v>0</v>
      </c>
      <c r="L91" s="22">
        <f t="shared" si="2"/>
        <v>3.3</v>
      </c>
      <c r="M91" s="22">
        <f t="shared" si="3"/>
        <v>9.8999999999999986</v>
      </c>
    </row>
    <row r="92" spans="7:13">
      <c r="G92" s="52" t="s">
        <v>200</v>
      </c>
      <c r="H92" s="22">
        <f>5.25+1.5</f>
        <v>6.75</v>
      </c>
      <c r="I92" s="22">
        <v>3</v>
      </c>
      <c r="J92" s="22">
        <v>0</v>
      </c>
      <c r="K92" s="22">
        <v>0</v>
      </c>
      <c r="L92" s="22">
        <f t="shared" si="2"/>
        <v>6.75</v>
      </c>
      <c r="M92" s="22">
        <f t="shared" si="3"/>
        <v>20.25</v>
      </c>
    </row>
    <row r="93" spans="7:13">
      <c r="G93" s="52" t="s">
        <v>201</v>
      </c>
      <c r="H93" s="22">
        <f>4.55+1.5</f>
        <v>6.05</v>
      </c>
      <c r="I93" s="22">
        <v>3</v>
      </c>
      <c r="J93" s="22">
        <v>0</v>
      </c>
      <c r="K93" s="22">
        <v>0</v>
      </c>
      <c r="L93" s="22">
        <f t="shared" si="2"/>
        <v>6.05</v>
      </c>
      <c r="M93" s="22">
        <f t="shared" si="3"/>
        <v>18.149999999999999</v>
      </c>
    </row>
    <row r="94" spans="7:13">
      <c r="G94" s="52" t="s">
        <v>202</v>
      </c>
      <c r="H94" s="22">
        <f>7.25+1.5</f>
        <v>8.75</v>
      </c>
      <c r="I94" s="22">
        <v>3</v>
      </c>
      <c r="J94" s="22">
        <v>0</v>
      </c>
      <c r="K94" s="22">
        <v>0</v>
      </c>
      <c r="L94" s="22">
        <f t="shared" si="2"/>
        <v>8.75</v>
      </c>
      <c r="M94" s="22">
        <f t="shared" si="3"/>
        <v>26.25</v>
      </c>
    </row>
    <row r="95" spans="7:13">
      <c r="G95" s="52" t="s">
        <v>203</v>
      </c>
      <c r="H95" s="22">
        <f>10.2+1.5</f>
        <v>11.7</v>
      </c>
      <c r="I95" s="22">
        <v>3</v>
      </c>
      <c r="J95" s="22">
        <v>0</v>
      </c>
      <c r="K95" s="22">
        <v>0</v>
      </c>
      <c r="L95" s="22">
        <f t="shared" si="2"/>
        <v>11.7</v>
      </c>
      <c r="M95" s="22">
        <f t="shared" si="3"/>
        <v>35.099999999999994</v>
      </c>
    </row>
    <row r="96" spans="7:13">
      <c r="G96" s="52" t="s">
        <v>204</v>
      </c>
      <c r="H96" s="22">
        <f>10.45+1.5</f>
        <v>11.95</v>
      </c>
      <c r="I96" s="22">
        <v>3</v>
      </c>
      <c r="J96" s="22">
        <v>0</v>
      </c>
      <c r="K96" s="22">
        <v>0</v>
      </c>
      <c r="L96" s="22">
        <f t="shared" si="2"/>
        <v>11.95</v>
      </c>
      <c r="M96" s="22">
        <f t="shared" si="3"/>
        <v>35.849999999999994</v>
      </c>
    </row>
    <row r="97" spans="7:13">
      <c r="G97" s="52" t="s">
        <v>205</v>
      </c>
      <c r="H97" s="22">
        <f>12.4+1.5</f>
        <v>13.9</v>
      </c>
      <c r="I97" s="22">
        <v>6</v>
      </c>
      <c r="J97" s="22">
        <v>0</v>
      </c>
      <c r="K97" s="22">
        <v>0</v>
      </c>
      <c r="L97" s="22">
        <f t="shared" si="2"/>
        <v>13.9</v>
      </c>
      <c r="M97" s="22">
        <f t="shared" si="3"/>
        <v>83.4</v>
      </c>
    </row>
    <row r="98" spans="7:13">
      <c r="G98" s="52" t="s">
        <v>206</v>
      </c>
      <c r="H98" s="22">
        <f>13+1.5</f>
        <v>14.5</v>
      </c>
      <c r="I98" s="22">
        <v>6</v>
      </c>
      <c r="J98" s="22">
        <v>0</v>
      </c>
      <c r="K98" s="22">
        <v>0</v>
      </c>
      <c r="L98" s="22">
        <f t="shared" si="2"/>
        <v>14.5</v>
      </c>
      <c r="M98" s="22">
        <f t="shared" si="3"/>
        <v>87</v>
      </c>
    </row>
    <row r="99" spans="7:13">
      <c r="G99" s="52" t="s">
        <v>207</v>
      </c>
      <c r="H99" s="22">
        <f>11.75+1.5</f>
        <v>13.25</v>
      </c>
      <c r="I99" s="22">
        <v>3</v>
      </c>
      <c r="J99" s="22">
        <v>0</v>
      </c>
      <c r="K99" s="22">
        <v>0</v>
      </c>
      <c r="L99" s="22">
        <f t="shared" si="2"/>
        <v>13.25</v>
      </c>
      <c r="M99" s="22">
        <f t="shared" si="3"/>
        <v>39.75</v>
      </c>
    </row>
    <row r="100" spans="7:13">
      <c r="G100" s="52" t="s">
        <v>208</v>
      </c>
      <c r="H100" s="22">
        <f>13.55+1</f>
        <v>14.55</v>
      </c>
      <c r="I100" s="22">
        <v>3</v>
      </c>
      <c r="J100" s="22">
        <v>0</v>
      </c>
      <c r="K100" s="22">
        <v>0</v>
      </c>
      <c r="L100" s="22">
        <f t="shared" si="2"/>
        <v>14.55</v>
      </c>
      <c r="M100" s="22">
        <f t="shared" si="3"/>
        <v>43.650000000000006</v>
      </c>
    </row>
    <row r="101" spans="7:13">
      <c r="G101" s="52" t="s">
        <v>209</v>
      </c>
      <c r="H101" s="22">
        <f>16.35+1.5</f>
        <v>17.850000000000001</v>
      </c>
      <c r="I101" s="22">
        <v>3</v>
      </c>
      <c r="J101" s="22">
        <v>0</v>
      </c>
      <c r="K101" s="22">
        <v>0</v>
      </c>
      <c r="L101" s="22">
        <f t="shared" si="2"/>
        <v>17.850000000000001</v>
      </c>
      <c r="M101" s="22">
        <f t="shared" si="3"/>
        <v>53.550000000000004</v>
      </c>
    </row>
    <row r="102" spans="7:13">
      <c r="G102" s="52" t="s">
        <v>210</v>
      </c>
      <c r="H102" s="22">
        <f>17.6+1.5</f>
        <v>19.100000000000001</v>
      </c>
      <c r="I102" s="22">
        <v>3</v>
      </c>
      <c r="J102" s="22">
        <v>0</v>
      </c>
      <c r="K102" s="22">
        <v>0</v>
      </c>
      <c r="L102" s="22">
        <f t="shared" ref="L102:L108" si="4">H102</f>
        <v>19.100000000000001</v>
      </c>
      <c r="M102" s="22">
        <f t="shared" ref="M102:M108" si="5">I102*(J102+K102+L102)</f>
        <v>57.300000000000004</v>
      </c>
    </row>
    <row r="103" spans="7:13">
      <c r="G103" s="52" t="s">
        <v>211</v>
      </c>
      <c r="H103" s="22">
        <f>20.7+1.5</f>
        <v>22.2</v>
      </c>
      <c r="I103" s="22">
        <v>3</v>
      </c>
      <c r="J103" s="22">
        <v>0</v>
      </c>
      <c r="K103" s="22">
        <v>0</v>
      </c>
      <c r="L103" s="22">
        <f t="shared" si="4"/>
        <v>22.2</v>
      </c>
      <c r="M103" s="22">
        <f t="shared" si="5"/>
        <v>66.599999999999994</v>
      </c>
    </row>
    <row r="104" spans="7:13">
      <c r="G104" s="52" t="s">
        <v>212</v>
      </c>
      <c r="H104" s="22">
        <f>5.85+1</f>
        <v>6.85</v>
      </c>
      <c r="I104" s="22">
        <v>3</v>
      </c>
      <c r="J104" s="22">
        <v>0</v>
      </c>
      <c r="K104" s="22">
        <v>0</v>
      </c>
      <c r="L104" s="22">
        <f t="shared" si="4"/>
        <v>6.85</v>
      </c>
      <c r="M104" s="22">
        <f t="shared" si="5"/>
        <v>20.549999999999997</v>
      </c>
    </row>
    <row r="105" spans="7:13">
      <c r="G105" s="52" t="s">
        <v>213</v>
      </c>
      <c r="H105" s="22">
        <f>5.9+1.5</f>
        <v>7.4</v>
      </c>
      <c r="I105" s="22">
        <v>3</v>
      </c>
      <c r="J105" s="22">
        <v>0</v>
      </c>
      <c r="K105" s="22">
        <v>0</v>
      </c>
      <c r="L105" s="22">
        <f t="shared" si="4"/>
        <v>7.4</v>
      </c>
      <c r="M105" s="22">
        <f t="shared" si="5"/>
        <v>22.200000000000003</v>
      </c>
    </row>
    <row r="106" spans="7:13">
      <c r="G106" s="52" t="s">
        <v>214</v>
      </c>
      <c r="H106" s="22">
        <f>7.85+1.5</f>
        <v>9.35</v>
      </c>
      <c r="I106" s="22">
        <v>6</v>
      </c>
      <c r="J106" s="22">
        <v>0</v>
      </c>
      <c r="K106" s="22">
        <v>0</v>
      </c>
      <c r="L106" s="22">
        <f t="shared" si="4"/>
        <v>9.35</v>
      </c>
      <c r="M106" s="22">
        <f t="shared" si="5"/>
        <v>56.099999999999994</v>
      </c>
    </row>
    <row r="107" spans="7:13">
      <c r="G107" s="52" t="s">
        <v>215</v>
      </c>
      <c r="H107" s="22">
        <f>7.85+1.5</f>
        <v>9.35</v>
      </c>
      <c r="I107" s="22">
        <v>3</v>
      </c>
      <c r="J107" s="22">
        <v>0</v>
      </c>
      <c r="K107" s="22">
        <v>0</v>
      </c>
      <c r="L107" s="22">
        <f t="shared" si="4"/>
        <v>9.35</v>
      </c>
      <c r="M107" s="22">
        <f t="shared" si="5"/>
        <v>28.049999999999997</v>
      </c>
    </row>
    <row r="108" spans="7:13">
      <c r="G108" s="52" t="s">
        <v>216</v>
      </c>
      <c r="H108" s="22">
        <f>7.3+1.5</f>
        <v>8.8000000000000007</v>
      </c>
      <c r="I108" s="22">
        <v>3</v>
      </c>
      <c r="J108" s="22">
        <v>0</v>
      </c>
      <c r="K108" s="22">
        <v>0</v>
      </c>
      <c r="L108" s="22">
        <f t="shared" si="4"/>
        <v>8.8000000000000007</v>
      </c>
      <c r="M108" s="22">
        <f t="shared" si="5"/>
        <v>26.400000000000002</v>
      </c>
    </row>
    <row r="109" spans="7:13">
      <c r="G109" s="52" t="s">
        <v>217</v>
      </c>
      <c r="H109" s="22">
        <f>9.25+1.5</f>
        <v>10.75</v>
      </c>
      <c r="I109" s="22">
        <v>3</v>
      </c>
      <c r="J109" s="22">
        <v>0</v>
      </c>
      <c r="K109" s="22">
        <v>0</v>
      </c>
      <c r="L109" s="22">
        <f t="shared" ref="L109:L117" si="6">H109</f>
        <v>10.75</v>
      </c>
      <c r="M109" s="22">
        <f t="shared" ref="M109:M117" si="7">I109*(J109+K109+L109)</f>
        <v>32.25</v>
      </c>
    </row>
    <row r="110" spans="7:13">
      <c r="G110" s="52" t="s">
        <v>218</v>
      </c>
      <c r="H110" s="22">
        <f>9.25+1.5</f>
        <v>10.75</v>
      </c>
      <c r="I110" s="22">
        <v>3</v>
      </c>
      <c r="J110" s="22">
        <v>0</v>
      </c>
      <c r="K110" s="22">
        <v>0</v>
      </c>
      <c r="L110" s="22">
        <f t="shared" si="6"/>
        <v>10.75</v>
      </c>
      <c r="M110" s="22">
        <f t="shared" si="7"/>
        <v>32.25</v>
      </c>
    </row>
    <row r="111" spans="7:13">
      <c r="G111" s="52" t="s">
        <v>219</v>
      </c>
      <c r="H111" s="22">
        <f>9.25+1</f>
        <v>10.25</v>
      </c>
      <c r="I111" s="22">
        <v>3</v>
      </c>
      <c r="J111" s="22">
        <v>0</v>
      </c>
      <c r="K111" s="22">
        <v>0</v>
      </c>
      <c r="L111" s="22">
        <f t="shared" si="6"/>
        <v>10.25</v>
      </c>
      <c r="M111" s="22">
        <f t="shared" si="7"/>
        <v>30.75</v>
      </c>
    </row>
    <row r="112" spans="7:13">
      <c r="G112" s="52" t="s">
        <v>220</v>
      </c>
      <c r="H112" s="22">
        <f>13.2+1.5</f>
        <v>14.7</v>
      </c>
      <c r="I112" s="22">
        <v>3</v>
      </c>
      <c r="J112" s="22">
        <v>0</v>
      </c>
      <c r="K112" s="22">
        <v>0</v>
      </c>
      <c r="L112" s="22">
        <f t="shared" si="6"/>
        <v>14.7</v>
      </c>
      <c r="M112" s="22">
        <f t="shared" si="7"/>
        <v>44.099999999999994</v>
      </c>
    </row>
    <row r="113" spans="7:14">
      <c r="G113" s="52" t="s">
        <v>221</v>
      </c>
      <c r="H113" s="22">
        <f>13.75+1.5</f>
        <v>15.25</v>
      </c>
      <c r="I113" s="22">
        <v>3</v>
      </c>
      <c r="J113" s="22">
        <v>0</v>
      </c>
      <c r="K113" s="22">
        <v>0</v>
      </c>
      <c r="L113" s="22">
        <f t="shared" si="6"/>
        <v>15.25</v>
      </c>
      <c r="M113" s="22">
        <f t="shared" si="7"/>
        <v>45.75</v>
      </c>
    </row>
    <row r="114" spans="7:14">
      <c r="G114" s="52" t="s">
        <v>222</v>
      </c>
      <c r="H114" s="22">
        <f>15.1+1</f>
        <v>16.100000000000001</v>
      </c>
      <c r="I114" s="22">
        <v>6</v>
      </c>
      <c r="J114" s="22">
        <v>0</v>
      </c>
      <c r="K114" s="22">
        <v>0</v>
      </c>
      <c r="L114" s="22">
        <f t="shared" si="6"/>
        <v>16.100000000000001</v>
      </c>
      <c r="M114" s="22">
        <f t="shared" si="7"/>
        <v>96.600000000000009</v>
      </c>
    </row>
    <row r="115" spans="7:14">
      <c r="G115" s="52" t="s">
        <v>223</v>
      </c>
      <c r="H115" s="22">
        <f>15.55+1</f>
        <v>16.55</v>
      </c>
      <c r="I115" s="22">
        <v>3</v>
      </c>
      <c r="J115" s="22">
        <v>0</v>
      </c>
      <c r="K115" s="22">
        <v>0</v>
      </c>
      <c r="L115" s="22">
        <f t="shared" si="6"/>
        <v>16.55</v>
      </c>
      <c r="M115" s="22">
        <f t="shared" si="7"/>
        <v>49.650000000000006</v>
      </c>
    </row>
    <row r="116" spans="7:14">
      <c r="G116" s="52" t="s">
        <v>224</v>
      </c>
      <c r="H116" s="22">
        <f>18+1.5</f>
        <v>19.5</v>
      </c>
      <c r="I116" s="22">
        <v>3</v>
      </c>
      <c r="J116" s="22">
        <v>0</v>
      </c>
      <c r="K116" s="22">
        <v>0</v>
      </c>
      <c r="L116" s="22">
        <f t="shared" si="6"/>
        <v>19.5</v>
      </c>
      <c r="M116" s="22">
        <f t="shared" si="7"/>
        <v>58.5</v>
      </c>
    </row>
    <row r="117" spans="7:14">
      <c r="G117" s="52" t="s">
        <v>225</v>
      </c>
      <c r="H117" s="22">
        <f>21+1.5</f>
        <v>22.5</v>
      </c>
      <c r="I117" s="22">
        <v>3</v>
      </c>
      <c r="J117" s="22">
        <v>0</v>
      </c>
      <c r="K117" s="22">
        <v>0</v>
      </c>
      <c r="L117" s="22">
        <f t="shared" si="6"/>
        <v>22.5</v>
      </c>
      <c r="M117" s="22">
        <f t="shared" si="7"/>
        <v>67.5</v>
      </c>
    </row>
    <row r="118" spans="7:14">
      <c r="G118" s="52" t="s">
        <v>146</v>
      </c>
      <c r="H118" s="22">
        <f>13.75</f>
        <v>13.75</v>
      </c>
      <c r="I118" s="22">
        <v>3</v>
      </c>
      <c r="J118" s="22">
        <v>0</v>
      </c>
      <c r="K118" s="22">
        <v>0</v>
      </c>
      <c r="L118" s="22">
        <f t="shared" ref="L118:L125" si="8">H118</f>
        <v>13.75</v>
      </c>
      <c r="M118" s="22">
        <f t="shared" ref="M118:M125" si="9">I118*(J118+K118+L118)</f>
        <v>41.25</v>
      </c>
    </row>
    <row r="119" spans="7:14">
      <c r="G119" s="52" t="s">
        <v>147</v>
      </c>
      <c r="H119" s="22">
        <f>14</f>
        <v>14</v>
      </c>
      <c r="I119" s="22">
        <v>3</v>
      </c>
      <c r="J119" s="22">
        <v>0</v>
      </c>
      <c r="K119" s="22">
        <v>0</v>
      </c>
      <c r="L119" s="22">
        <f t="shared" si="8"/>
        <v>14</v>
      </c>
      <c r="M119" s="22">
        <f t="shared" si="9"/>
        <v>42</v>
      </c>
    </row>
    <row r="120" spans="7:14">
      <c r="G120" s="52" t="s">
        <v>148</v>
      </c>
      <c r="H120" s="22">
        <f>17.6</f>
        <v>17.600000000000001</v>
      </c>
      <c r="I120" s="22">
        <v>3</v>
      </c>
      <c r="J120" s="22">
        <v>0</v>
      </c>
      <c r="K120" s="22">
        <v>0</v>
      </c>
      <c r="L120" s="22">
        <f t="shared" si="8"/>
        <v>17.600000000000001</v>
      </c>
      <c r="M120" s="22">
        <f t="shared" si="9"/>
        <v>52.800000000000004</v>
      </c>
    </row>
    <row r="121" spans="7:14">
      <c r="G121" s="52" t="s">
        <v>149</v>
      </c>
      <c r="H121" s="22">
        <f>6.2</f>
        <v>6.2</v>
      </c>
      <c r="I121" s="22">
        <v>3</v>
      </c>
      <c r="J121" s="22">
        <v>0</v>
      </c>
      <c r="K121" s="22">
        <v>0</v>
      </c>
      <c r="L121" s="22">
        <f t="shared" si="8"/>
        <v>6.2</v>
      </c>
      <c r="M121" s="22">
        <f t="shared" si="9"/>
        <v>18.600000000000001</v>
      </c>
    </row>
    <row r="122" spans="7:14">
      <c r="G122" s="52" t="s">
        <v>150</v>
      </c>
      <c r="H122" s="22">
        <f>17.5</f>
        <v>17.5</v>
      </c>
      <c r="I122" s="22">
        <v>3</v>
      </c>
      <c r="J122" s="22">
        <v>0</v>
      </c>
      <c r="K122" s="22">
        <v>0</v>
      </c>
      <c r="L122" s="22">
        <f t="shared" si="8"/>
        <v>17.5</v>
      </c>
      <c r="M122" s="22">
        <f t="shared" si="9"/>
        <v>52.5</v>
      </c>
    </row>
    <row r="123" spans="7:14">
      <c r="G123" s="52" t="s">
        <v>151</v>
      </c>
      <c r="H123" s="22">
        <f>5.4</f>
        <v>5.4</v>
      </c>
      <c r="I123" s="22">
        <v>3</v>
      </c>
      <c r="J123" s="22">
        <v>0</v>
      </c>
      <c r="K123" s="22">
        <v>0</v>
      </c>
      <c r="L123" s="22">
        <f t="shared" si="8"/>
        <v>5.4</v>
      </c>
      <c r="M123" s="22">
        <f t="shared" si="9"/>
        <v>16.200000000000003</v>
      </c>
    </row>
    <row r="124" spans="7:14">
      <c r="G124" s="52" t="s">
        <v>152</v>
      </c>
      <c r="H124" s="22">
        <f>10.45</f>
        <v>10.45</v>
      </c>
      <c r="I124" s="22">
        <v>3</v>
      </c>
      <c r="J124" s="22">
        <v>0</v>
      </c>
      <c r="K124" s="22">
        <v>0</v>
      </c>
      <c r="L124" s="22">
        <f t="shared" si="8"/>
        <v>10.45</v>
      </c>
      <c r="M124" s="22">
        <f t="shared" si="9"/>
        <v>31.349999999999998</v>
      </c>
    </row>
    <row r="125" spans="7:14">
      <c r="G125" s="52" t="s">
        <v>153</v>
      </c>
      <c r="H125" s="22">
        <f>16.5</f>
        <v>16.5</v>
      </c>
      <c r="I125" s="22">
        <v>3</v>
      </c>
      <c r="J125" s="22">
        <v>0</v>
      </c>
      <c r="K125" s="22">
        <v>0</v>
      </c>
      <c r="L125" s="22">
        <f t="shared" si="8"/>
        <v>16.5</v>
      </c>
      <c r="M125" s="22">
        <f t="shared" si="9"/>
        <v>49.5</v>
      </c>
    </row>
    <row r="126" spans="7:14">
      <c r="J126" s="39">
        <f>SUM(J51:J125)</f>
        <v>0</v>
      </c>
      <c r="K126" s="39">
        <f>ROUNDUP(SUM(K51:K125),0)</f>
        <v>0</v>
      </c>
      <c r="L126" s="39">
        <f>ROUNDUP(SUM(L51:L125)*0.6,0)</f>
        <v>629</v>
      </c>
      <c r="M126" s="39">
        <f>ROUNDUP(SUM(M51:M125)*0.6,0)</f>
        <v>1983</v>
      </c>
      <c r="N126" s="1">
        <f>$M$126/($L$126+$J$126+$K$126)</f>
        <v>3.1526232114467407</v>
      </c>
    </row>
    <row r="127" spans="7:14">
      <c r="M127" s="34"/>
    </row>
    <row r="150" spans="7:7">
      <c r="G150" s="34"/>
    </row>
  </sheetData>
  <mergeCells count="9">
    <mergeCell ref="O2:P2"/>
    <mergeCell ref="G49:M49"/>
    <mergeCell ref="G2:G3"/>
    <mergeCell ref="M2:M3"/>
    <mergeCell ref="K2:L2"/>
    <mergeCell ref="K19:L19"/>
    <mergeCell ref="H2:J2"/>
    <mergeCell ref="H19:J19"/>
    <mergeCell ref="G21:M21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12</vt:i4>
      </vt:variant>
      <vt:variant>
        <vt:lpstr>Intervalos nomeados</vt:lpstr>
      </vt:variant>
      <vt:variant>
        <vt:i4>6</vt:i4>
      </vt:variant>
    </vt:vector>
  </HeadingPairs>
  <TitlesOfParts>
    <vt:vector size="18" baseType="lpstr">
      <vt:lpstr>PLANILHA ORÇAMENTÁRIA (2)</vt:lpstr>
      <vt:lpstr>PORTÃO 3,58 x 2,48</vt:lpstr>
      <vt:lpstr>PORTÃO 2,10 x 2,48</vt:lpstr>
      <vt:lpstr>PORTÃO 4,24 x 2,48</vt:lpstr>
      <vt:lpstr>GRADIL</vt:lpstr>
      <vt:lpstr>CRONOGRAMA FÍSICO-FINANCEIRO</vt:lpstr>
      <vt:lpstr>COMPOSIÇÃO DO BDI</vt:lpstr>
      <vt:lpstr>Memória de Cálculo</vt:lpstr>
      <vt:lpstr>INSTALAÇÕES ELÉTRICAS</vt:lpstr>
      <vt:lpstr>ALVENARIA</vt:lpstr>
      <vt:lpstr>DEMOLIÇÃO DE ALVENARIA</vt:lpstr>
      <vt:lpstr>REVESTIMENTOS E PINTURA</vt:lpstr>
      <vt:lpstr>'CRONOGRAMA FÍSICO-FINANCEIRO'!Area_de_impressao</vt:lpstr>
      <vt:lpstr>GRADIL!Area_de_impressao</vt:lpstr>
      <vt:lpstr>'PLANILHA ORÇAMENTÁRIA (2)'!Area_de_impressao</vt:lpstr>
      <vt:lpstr>'PORTÃO 2,10 x 2,48'!Area_de_impressao</vt:lpstr>
      <vt:lpstr>'PORTÃO 3,58 x 2,48'!Area_de_impressao</vt:lpstr>
      <vt:lpstr>'PORTÃO 4,24 x 2,48'!Area_de_impressao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Francine</dc:creator>
  <cp:lastModifiedBy>Licitacao02</cp:lastModifiedBy>
  <cp:lastPrinted>2023-08-25T18:18:41Z</cp:lastPrinted>
  <dcterms:created xsi:type="dcterms:W3CDTF">2021-04-12T11:05:00Z</dcterms:created>
  <dcterms:modified xsi:type="dcterms:W3CDTF">2023-10-26T12:19:49Z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1046-11.2.0.10114</vt:lpwstr>
  </property>
</Properties>
</file>