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PROCESSOS DE LICITAÇÃO\TOMADA DE PREÇO\Engenharia\reforma e ampliação CEI Virginia Bagata_ 2023\"/>
    </mc:Choice>
  </mc:AlternateContent>
  <bookViews>
    <workbookView xWindow="0" yWindow="0" windowWidth="28800" windowHeight="12210" firstSheet="1" activeTab="1"/>
  </bookViews>
  <sheets>
    <sheet name="MEMORIAL DE CÁLCULO E ANOTAÇÕES" sheetId="17" r:id="rId1"/>
    <sheet name="PLANILHA ORÇAMENTÁRIA" sheetId="14" r:id="rId2"/>
    <sheet name="CRONOGRAMA FÍSICO-FINANCEIRO" sheetId="13" r:id="rId3"/>
    <sheet name="BANHEIRA" sheetId="26" r:id="rId4"/>
    <sheet name="PLACAS CEGAS" sheetId="23" r:id="rId5"/>
    <sheet name="INSTALAÇÕES - ELÉTRICA" sheetId="25" r:id="rId6"/>
    <sheet name="COMPOSIÇÃO DO BDI" sheetId="21" r:id="rId7"/>
    <sheet name="FUNDAÇÃO" sheetId="18" r:id="rId8"/>
    <sheet name="ESTRUTURA" sheetId="19" r:id="rId9"/>
    <sheet name="ESQUADRIAS" sheetId="15" r:id="rId10"/>
    <sheet name="BANHEIRO AO LADO DA SALA PROF" sheetId="16" r:id="rId11"/>
    <sheet name="INSTALAÇÕES ELÉTRICAS" sheetId="12" state="hidden" r:id="rId12"/>
    <sheet name="ALVENARIA" sheetId="7" state="hidden" r:id="rId13"/>
    <sheet name="DEMOLIÇÃO DE ALVENARIA" sheetId="2" state="hidden" r:id="rId14"/>
    <sheet name="REVESTIMENTOS E PINTURA" sheetId="5" state="hidden" r:id="rId15"/>
  </sheets>
  <definedNames>
    <definedName name="_xlnm.Print_Area" localSheetId="3">BANHEIRA!$A$1:$G$41</definedName>
    <definedName name="_xlnm.Print_Area" localSheetId="2">'CRONOGRAMA FÍSICO-FINANCEIRO'!$B$1:$T$48</definedName>
    <definedName name="_xlnm.Print_Area" localSheetId="4">'PLACAS CEGAS'!$A$1:$G$35</definedName>
    <definedName name="_xlnm.Print_Area" localSheetId="1">'PLANILHA ORÇAMENTÁRIA'!$A$1:$I$199</definedName>
    <definedName name="_xlnm.Database" localSheetId="3">#REF!</definedName>
    <definedName name="_xlnm.Database" localSheetId="10">#REF!</definedName>
    <definedName name="_xlnm.Database" localSheetId="6">#REF!</definedName>
    <definedName name="_xlnm.Database" localSheetId="9">#REF!</definedName>
    <definedName name="_xlnm.Database" localSheetId="0">#REF!</definedName>
    <definedName name="_xlnm.Database" localSheetId="4">#REF!</definedName>
    <definedName name="_xlnm.Database" localSheetId="1">#REF!</definedName>
    <definedName name="_xlnm.Database">#REF!</definedName>
    <definedName name="Comp.export" localSheetId="3">#REF!</definedName>
    <definedName name="Comp.export" localSheetId="10">#REF!</definedName>
    <definedName name="Comp.export" localSheetId="6">#REF!</definedName>
    <definedName name="Comp.export" localSheetId="9">#REF!</definedName>
    <definedName name="Comp.export" localSheetId="0">#REF!</definedName>
    <definedName name="Comp.export" localSheetId="4">#REF!</definedName>
    <definedName name="Comp.export" localSheetId="1">#REF!</definedName>
    <definedName name="Comp.export">#REF!</definedName>
    <definedName name="CONCATENAR" localSheetId="3">CONCATENATE(#REF!," ",#REF!)</definedName>
    <definedName name="CONCATENAR" localSheetId="10">CONCATENATE(#REF!," ",#REF!)</definedName>
    <definedName name="CONCATENAR" localSheetId="6">CONCATENATE(#REF!," ",#REF!)</definedName>
    <definedName name="CONCATENAR" localSheetId="9">CONCATENATE(#REF!," ",#REF!)</definedName>
    <definedName name="CONCATENAR" localSheetId="0">CONCATENATE(#REF!," ",#REF!)</definedName>
    <definedName name="CONCATENAR" localSheetId="4">CONCATENATE(#REF!," ",#REF!)</definedName>
    <definedName name="CONCATENAR" localSheetId="1">CONCATENATE(#REF!," ",#REF!)</definedName>
    <definedName name="CONCATENAR">CONCATENATE(#REF!," ",#REF!)</definedName>
    <definedName name="CONTEM" localSheetId="3">#REF!</definedName>
    <definedName name="CONTEM" localSheetId="10">#REF!</definedName>
    <definedName name="CONTEM" localSheetId="6">#REF!</definedName>
    <definedName name="CONTEM" localSheetId="9">#REF!</definedName>
    <definedName name="CONTEM" localSheetId="0">#REF!</definedName>
    <definedName name="CONTEM" localSheetId="4">#REF!</definedName>
    <definedName name="CONTEM" localSheetId="1">#REF!</definedName>
    <definedName name="CONTEM">#REF!</definedName>
    <definedName name="Cot.LP.Banco" localSheetId="3">#REF!</definedName>
    <definedName name="Cot.LP.Banco" localSheetId="10">#REF!</definedName>
    <definedName name="Cot.LP.Banco" localSheetId="6">#REF!</definedName>
    <definedName name="Cot.LP.Banco" localSheetId="9">#REF!</definedName>
    <definedName name="Cot.LP.Banco" localSheetId="0">#REF!</definedName>
    <definedName name="Cot.LP.Banco" localSheetId="4">#REF!</definedName>
    <definedName name="Cot.LP.Banco" localSheetId="1">#REF!</definedName>
    <definedName name="Cot.LP.Banco">#REF!</definedName>
    <definedName name="Cot.LP.Cot" localSheetId="3">#REF!</definedName>
    <definedName name="Cot.LP.Cot" localSheetId="10">#REF!</definedName>
    <definedName name="Cot.LP.Cot" localSheetId="9">#REF!</definedName>
    <definedName name="Cot.LP.Cot" localSheetId="0">#REF!</definedName>
    <definedName name="Cot.LP.Cot" localSheetId="4">#REF!</definedName>
    <definedName name="Cot.LP.Cot" localSheetId="1">#REF!</definedName>
    <definedName name="Cot.LP.Cot">#REF!</definedName>
    <definedName name="Cot.LP.Cotacao" localSheetId="3">#REF!</definedName>
    <definedName name="Cot.LP.Cotacao" localSheetId="10">#REF!</definedName>
    <definedName name="Cot.LP.Cotacao" localSheetId="9">#REF!</definedName>
    <definedName name="Cot.LP.Cotacao" localSheetId="0">#REF!</definedName>
    <definedName name="Cot.LP.Cotacao" localSheetId="4">#REF!</definedName>
    <definedName name="Cot.LP.Cotacao" localSheetId="1">#REF!</definedName>
    <definedName name="Cot.LP.Cotacao">#REF!</definedName>
    <definedName name="Cot.LP.Empresa" localSheetId="3">#REF!</definedName>
    <definedName name="Cot.LP.Empresa" localSheetId="10">#REF!</definedName>
    <definedName name="Cot.LP.Empresa" localSheetId="9">#REF!</definedName>
    <definedName name="Cot.LP.Empresa" localSheetId="0">#REF!</definedName>
    <definedName name="Cot.LP.Empresa" localSheetId="4">#REF!</definedName>
    <definedName name="Cot.LP.Empresa" localSheetId="1">#REF!</definedName>
    <definedName name="Cot.LP.Empresa">#REF!</definedName>
    <definedName name="Cot.LP.Indice" localSheetId="3">#REF!</definedName>
    <definedName name="Cot.LP.Indice" localSheetId="10">#REF!</definedName>
    <definedName name="Cot.LP.Indice" localSheetId="9">#REF!</definedName>
    <definedName name="Cot.LP.Indice" localSheetId="0">#REF!</definedName>
    <definedName name="Cot.LP.Indice" localSheetId="4">#REF!</definedName>
    <definedName name="Cot.LP.Indice" localSheetId="1">#REF!</definedName>
    <definedName name="Cot.LP.Indice">#REF!</definedName>
    <definedName name="DATAEMISSAO" localSheetId="3">#REF!</definedName>
    <definedName name="DATAEMISSAO" localSheetId="10">#REF!</definedName>
    <definedName name="DATAEMISSAO" localSheetId="9">#REF!</definedName>
    <definedName name="DATAEMISSAO" localSheetId="0">#REF!</definedName>
    <definedName name="DATAEMISSAO" localSheetId="4">#REF!</definedName>
    <definedName name="DATAEMISSAO" localSheetId="1">#REF!</definedName>
    <definedName name="DATAEMISSAO">#REF!</definedName>
    <definedName name="DATART" localSheetId="3">#REF!</definedName>
    <definedName name="DATART" localSheetId="10">#REF!</definedName>
    <definedName name="DATART" localSheetId="9">#REF!</definedName>
    <definedName name="DATART" localSheetId="0">#REF!</definedName>
    <definedName name="DATART" localSheetId="4">#REF!</definedName>
    <definedName name="DATART" localSheetId="1">#REF!</definedName>
    <definedName name="DATART">#REF!</definedName>
    <definedName name="EMPRESAS" localSheetId="3">OFFSET(#REF!,1,0):OFFSET(#REF!,-1,0)</definedName>
    <definedName name="EMPRESAS" localSheetId="10">OFFSET(#REF!,1,0):OFFSET(#REF!,-1,0)</definedName>
    <definedName name="EMPRESAS" localSheetId="6">OFFSET(#REF!,1,0):OFFSET(#REF!,-1,0)</definedName>
    <definedName name="EMPRESAS" localSheetId="9">OFFSET(#REF!,1,0):OFFSET(#REF!,-1,0)</definedName>
    <definedName name="EMPRESAS" localSheetId="0">OFFSET(#REF!,1,0):OFFSET(#REF!,-1,0)</definedName>
    <definedName name="EMPRESAS" localSheetId="4">OFFSET(#REF!,1,0):OFFSET(#REF!,-1,0)</definedName>
    <definedName name="EMPRESAS" localSheetId="1">OFFSET(#REF!,1,0):OFFSET(#REF!,-1,0)</definedName>
    <definedName name="EMPRESAS">OFFSET(#REF!,1,0):OFFSET(#REF!,-1,0)</definedName>
    <definedName name="FiltroComp" localSheetId="3">#REF!</definedName>
    <definedName name="FiltroComp" localSheetId="10">#REF!</definedName>
    <definedName name="FiltroComp" localSheetId="6">#REF!</definedName>
    <definedName name="FiltroComp" localSheetId="9">#REF!</definedName>
    <definedName name="FiltroComp" localSheetId="0">#REF!</definedName>
    <definedName name="FiltroComp" localSheetId="4">#REF!</definedName>
    <definedName name="FiltroComp" localSheetId="1">#REF!</definedName>
    <definedName name="FiltroComp">#REF!</definedName>
    <definedName name="FiltroCot" localSheetId="3">#REF!</definedName>
    <definedName name="FiltroCot" localSheetId="10">#REF!</definedName>
    <definedName name="FiltroCot" localSheetId="6">#REF!</definedName>
    <definedName name="FiltroCot" localSheetId="9">#REF!</definedName>
    <definedName name="FiltroCot" localSheetId="0">#REF!</definedName>
    <definedName name="FiltroCot" localSheetId="4">#REF!</definedName>
    <definedName name="FiltroCot" localSheetId="1">#REF!</definedName>
    <definedName name="FiltroCot">#REF!</definedName>
    <definedName name="INDICES" localSheetId="3">OFFSET(#REF!,1,0):OFFSET(#REF!,-1,0)</definedName>
    <definedName name="INDICES" localSheetId="10">OFFSET(#REF!,1,0):OFFSET(#REF!,-1,0)</definedName>
    <definedName name="INDICES" localSheetId="6">OFFSET(#REF!,1,0):OFFSET(#REF!,-1,0)</definedName>
    <definedName name="INDICES" localSheetId="9">OFFSET(#REF!,1,0):OFFSET(#REF!,-1,0)</definedName>
    <definedName name="INDICES" localSheetId="0">OFFSET(#REF!,1,0):OFFSET(#REF!,-1,0)</definedName>
    <definedName name="INDICES" localSheetId="4">OFFSET(#REF!,1,0):OFFSET(#REF!,-1,0)</definedName>
    <definedName name="INDICES" localSheetId="1">OFFSET(#REF!,1,0):OFFSET(#REF!,-1,0)</definedName>
    <definedName name="INDICES">OFFSET(#REF!,1,0):OFFSET(#REF!,-1,0)</definedName>
    <definedName name="LOCALIDADE" localSheetId="3">#REF!</definedName>
    <definedName name="LOCALIDADE" localSheetId="10">#REF!</definedName>
    <definedName name="LOCALIDADE" localSheetId="6">#REF!</definedName>
    <definedName name="LOCALIDADE" localSheetId="9">#REF!</definedName>
    <definedName name="LOCALIDADE" localSheetId="0">#REF!</definedName>
    <definedName name="LOCALIDADE" localSheetId="4">#REF!</definedName>
    <definedName name="LOCALIDADE" localSheetId="1">#REF!</definedName>
    <definedName name="LOCALIDADE">#REF!</definedName>
    <definedName name="NAOCONTEM" localSheetId="3">#REF!</definedName>
    <definedName name="NAOCONTEM" localSheetId="10">#REF!</definedName>
    <definedName name="NAOCONTEM" localSheetId="6">#REF!</definedName>
    <definedName name="NAOCONTEM" localSheetId="9">#REF!</definedName>
    <definedName name="NAOCONTEM" localSheetId="0">#REF!</definedName>
    <definedName name="NAOCONTEM" localSheetId="4">#REF!</definedName>
    <definedName name="NAOCONTEM" localSheetId="1">#REF!</definedName>
    <definedName name="NAOCONTEM">#REF!</definedName>
    <definedName name="NCOMPOSICOES">104</definedName>
    <definedName name="NCOTACOES">25</definedName>
    <definedName name="NEMPRESAS">50</definedName>
    <definedName name="NINDICES">3</definedName>
    <definedName name="NRELATORIOS" localSheetId="3">COUNTA(#REF!)-2</definedName>
    <definedName name="NRELATORIOS" localSheetId="10">COUNTA(#REF!)-2</definedName>
    <definedName name="NRELATORIOS" localSheetId="9">COUNTA(#REF!)-2</definedName>
    <definedName name="NRELATORIOS" localSheetId="0">COUNTA(#REF!)-2</definedName>
    <definedName name="NRELATORIOS" localSheetId="4">COUNTA(#REF!)-2</definedName>
    <definedName name="NRELATORIOS" localSheetId="1">COUNTA(#REF!)-2</definedName>
    <definedName name="NRELATORIOS">COUNTA(#REF!)-2</definedName>
    <definedName name="NumerEmpresa">50</definedName>
    <definedName name="NumerIndice">3</definedName>
    <definedName name="Objeto">"Referência"</definedName>
    <definedName name="ORÇAMENTO.BancoRef" localSheetId="3" hidden="1">#REF!</definedName>
    <definedName name="ORÇAMENTO.BancoRef" localSheetId="10" hidden="1">#REF!</definedName>
    <definedName name="ORÇAMENTO.BancoRef" localSheetId="6" hidden="1">#REF!</definedName>
    <definedName name="ORÇAMENTO.BancoRef" localSheetId="9" hidden="1">#REF!</definedName>
    <definedName name="ORÇAMENTO.BancoRef" localSheetId="0" hidden="1">#REF!</definedName>
    <definedName name="ORÇAMENTO.BancoRef" localSheetId="4" hidden="1">#REF!</definedName>
    <definedName name="ORÇAMENTO.BancoRef" localSheetId="1" hidden="1">#REF!</definedName>
    <definedName name="ORÇAMENTO.BancoRef" hidden="1">#REF!</definedName>
    <definedName name="REFERENCIA.Descricao" localSheetId="3" hidden="1">IF(ISNUMBER(#REF!),OFFSET(INDIRECT(BANHEIRA!ORÇAMENTO.BancoRef),#REF!-1,3,1),#REF!)</definedName>
    <definedName name="REFERENCIA.Descricao" localSheetId="10" hidden="1">IF(ISNUMBER(#REF!),OFFSET(INDIRECT('BANHEIRO AO LADO DA SALA PROF'!ORÇAMENTO.BancoRef),#REF!-1,3,1),#REF!)</definedName>
    <definedName name="REFERENCIA.Descricao" localSheetId="6" hidden="1">IF(ISNUMBER(#REF!),OFFSET(INDIRECT('COMPOSIÇÃO DO BDI'!ORÇAMENTO.BancoRef),#REF!-1,3,1),#REF!)</definedName>
    <definedName name="REFERENCIA.Descricao" localSheetId="9" hidden="1">IF(ISNUMBER(#REF!),OFFSET(INDIRECT(ESQUADRIAS!ORÇAMENTO.BancoRef),#REF!-1,3,1),#REF!)</definedName>
    <definedName name="REFERENCIA.Descricao" localSheetId="0" hidden="1">IF(ISNUMBER(#REF!),OFFSET(INDIRECT('MEMORIAL DE CÁLCULO E ANOTAÇÕES'!ORÇAMENTO.BancoRef),#REF!-1,3,1),#REF!)</definedName>
    <definedName name="REFERENCIA.Descricao" localSheetId="4" hidden="1">IF(ISNUMBER(#REF!),OFFSET(INDIRECT('PLACAS CEGAS'!ORÇAMENTO.BancoRef),#REF!-1,3,1),#REF!)</definedName>
    <definedName name="REFERENCIA.Descricao" localSheetId="1" hidden="1">IF(ISNUMBER(#REF!),OFFSET(INDIRECT('PLANILHA ORÇAMENTÁRIA'!ORÇAMENTO.BancoRef),#REF!-1,3,1),#REF!)</definedName>
    <definedName name="REFERENCIA.Descricao" hidden="1">IF(ISNUMBER(#REF!),OFFSET(INDIRECT(ORÇAMENTO.BancoRef),#REF!-1,3,1),#REF!)</definedName>
    <definedName name="RelatoriosFontes" localSheetId="3">OFFSET(#REF!,1,0,BANHEIRA!NRELATORIOS)</definedName>
    <definedName name="RelatoriosFontes" localSheetId="10">OFFSET(#REF!,1,0,'BANHEIRO AO LADO DA SALA PROF'!NRELATORIOS)</definedName>
    <definedName name="RelatoriosFontes" localSheetId="6">OFFSET(#REF!,1,0,NRELATORIOS)</definedName>
    <definedName name="RelatoriosFontes" localSheetId="9">OFFSET(#REF!,1,0,ESQUADRIAS!NRELATORIOS)</definedName>
    <definedName name="RelatoriosFontes" localSheetId="0">OFFSET(#REF!,1,0,'MEMORIAL DE CÁLCULO E ANOTAÇÕES'!NRELATORIOS)</definedName>
    <definedName name="RelatoriosFontes" localSheetId="4">OFFSET(#REF!,1,0,'PLACAS CEGAS'!NRELATORIOS)</definedName>
    <definedName name="RelatoriosFontes" localSheetId="1">OFFSET(#REF!,1,0,'PLANILHA ORÇAMENTÁRIA'!NRELATORIOS)</definedName>
    <definedName name="RelatoriosFontes">OFFSET(#REF!,1,0,NRELATORIOS)</definedName>
    <definedName name="SENHAGT" hidden="1">"PM2CAIXA"</definedName>
  </definedNames>
  <calcPr calcId="162913"/>
</workbook>
</file>

<file path=xl/calcChain.xml><?xml version="1.0" encoding="utf-8"?>
<calcChain xmlns="http://schemas.openxmlformats.org/spreadsheetml/2006/main">
  <c r="D121" i="14" l="1"/>
  <c r="F120" i="14"/>
  <c r="G27" i="26"/>
  <c r="G28" i="26"/>
  <c r="G34" i="26"/>
  <c r="G29" i="26"/>
  <c r="G30" i="26"/>
  <c r="G21" i="26"/>
  <c r="G20" i="26"/>
  <c r="G26" i="26"/>
  <c r="G19" i="26"/>
  <c r="D111" i="14"/>
  <c r="G31" i="26" l="1"/>
  <c r="G35" i="26" s="1"/>
  <c r="G22" i="26"/>
  <c r="G32" i="26" s="1"/>
  <c r="F93" i="14"/>
  <c r="D170" i="14"/>
  <c r="G36" i="26" l="1"/>
  <c r="D171" i="14"/>
  <c r="F140" i="14"/>
  <c r="F142" i="14" l="1"/>
  <c r="F141" i="14"/>
  <c r="D156" i="14"/>
  <c r="G19" i="23"/>
  <c r="G20" i="23" s="1"/>
  <c r="G26" i="23" s="1"/>
  <c r="G28" i="23" s="1"/>
  <c r="G24" i="23"/>
  <c r="G25" i="23" s="1"/>
  <c r="G29" i="23" s="1"/>
  <c r="G30" i="23" l="1"/>
  <c r="F156" i="14" s="1"/>
  <c r="D166" i="14"/>
  <c r="D165" i="14" l="1"/>
  <c r="D164" i="14"/>
  <c r="D155" i="14"/>
  <c r="D162" i="14"/>
  <c r="D161" i="14"/>
  <c r="D160" i="14"/>
  <c r="D159" i="14"/>
  <c r="D134" i="14" l="1"/>
  <c r="D133" i="14"/>
  <c r="D132" i="14"/>
  <c r="D129" i="14" l="1"/>
  <c r="D123" i="14"/>
  <c r="F137" i="14"/>
  <c r="F110" i="14"/>
  <c r="F104" i="14"/>
  <c r="F103" i="14"/>
  <c r="D130" i="14"/>
  <c r="C259" i="17"/>
  <c r="D89" i="14"/>
  <c r="D87" i="14"/>
  <c r="D131" i="14"/>
  <c r="D115" i="14" l="1"/>
  <c r="D114" i="14"/>
  <c r="D75" i="14" l="1"/>
  <c r="D122" i="14"/>
  <c r="C320" i="17"/>
  <c r="C168" i="17" l="1"/>
  <c r="D62" i="14"/>
  <c r="C41" i="17"/>
  <c r="D20" i="14"/>
  <c r="C224" i="17"/>
  <c r="C222" i="17"/>
  <c r="C185" i="17"/>
  <c r="D67" i="14"/>
  <c r="C223" i="17"/>
  <c r="C129" i="17"/>
  <c r="D50" i="14"/>
  <c r="D68" i="14"/>
  <c r="C189" i="17"/>
  <c r="C147" i="17"/>
  <c r="D56" i="14"/>
  <c r="D49" i="14"/>
  <c r="C203" i="17"/>
  <c r="D72" i="14"/>
  <c r="C125" i="17"/>
  <c r="D71" i="14"/>
  <c r="C200" i="17"/>
  <c r="D82" i="14"/>
  <c r="C237" i="17"/>
  <c r="C243" i="17" s="1"/>
  <c r="C22" i="17"/>
  <c r="D15" i="14"/>
  <c r="C258" i="17"/>
  <c r="D84" i="14" l="1"/>
  <c r="D16" i="14"/>
  <c r="C27" i="17"/>
  <c r="C62" i="17"/>
  <c r="D31" i="14"/>
  <c r="I5" i="19"/>
  <c r="I6" i="19"/>
  <c r="I7" i="19"/>
  <c r="I8" i="19"/>
  <c r="I9" i="19"/>
  <c r="I10" i="19"/>
  <c r="I11" i="19"/>
  <c r="I12" i="19"/>
  <c r="I13" i="19"/>
  <c r="I14" i="19"/>
  <c r="I15" i="19"/>
  <c r="I4" i="19"/>
  <c r="I16" i="19"/>
  <c r="I17" i="19"/>
  <c r="I18" i="19"/>
  <c r="I19" i="19"/>
  <c r="D185" i="14"/>
  <c r="G6" i="14"/>
  <c r="D19" i="21"/>
  <c r="D16" i="21"/>
  <c r="H8" i="14" l="1"/>
  <c r="G28" i="14"/>
  <c r="G145" i="14"/>
  <c r="H145" i="14"/>
  <c r="G146" i="14"/>
  <c r="H146" i="14"/>
  <c r="G143" i="14"/>
  <c r="G144" i="14"/>
  <c r="G159" i="14"/>
  <c r="H159" i="14"/>
  <c r="G161" i="14"/>
  <c r="H161" i="14"/>
  <c r="G164" i="14"/>
  <c r="G168" i="14"/>
  <c r="H164" i="14"/>
  <c r="G154" i="14"/>
  <c r="G172" i="14"/>
  <c r="G26" i="14"/>
  <c r="G110" i="14"/>
  <c r="G137" i="14"/>
  <c r="G104" i="14"/>
  <c r="G103" i="14"/>
  <c r="G112" i="14"/>
  <c r="G116" i="14"/>
  <c r="G124" i="14"/>
  <c r="G128" i="14"/>
  <c r="G132" i="14"/>
  <c r="G136" i="14"/>
  <c r="G107" i="14"/>
  <c r="G95" i="14"/>
  <c r="G99" i="14"/>
  <c r="G74" i="14"/>
  <c r="G62" i="14"/>
  <c r="G66" i="14"/>
  <c r="G52" i="14"/>
  <c r="G44" i="14"/>
  <c r="G42" i="14"/>
  <c r="G36" i="14"/>
  <c r="G20" i="14"/>
  <c r="G24" i="14"/>
  <c r="G29" i="14"/>
  <c r="G114" i="14"/>
  <c r="G86" i="14"/>
  <c r="G77" i="14"/>
  <c r="G56" i="14"/>
  <c r="G64" i="14"/>
  <c r="G18" i="14"/>
  <c r="G27" i="14"/>
  <c r="G94" i="14"/>
  <c r="G87" i="14"/>
  <c r="G75" i="14"/>
  <c r="G57" i="14"/>
  <c r="G39" i="14"/>
  <c r="G19" i="14"/>
  <c r="G177" i="14"/>
  <c r="G174" i="14"/>
  <c r="G150" i="14"/>
  <c r="G157" i="14"/>
  <c r="G113" i="14"/>
  <c r="G117" i="14"/>
  <c r="G121" i="14"/>
  <c r="G125" i="14"/>
  <c r="G96" i="14"/>
  <c r="G100" i="14"/>
  <c r="G85" i="14"/>
  <c r="G82" i="14"/>
  <c r="G81" i="14"/>
  <c r="G72" i="14"/>
  <c r="G55" i="14"/>
  <c r="G59" i="14"/>
  <c r="G63" i="14"/>
  <c r="G67" i="14"/>
  <c r="G32" i="14"/>
  <c r="G17" i="14"/>
  <c r="G21" i="14"/>
  <c r="G25" i="14"/>
  <c r="G13" i="14"/>
  <c r="H127" i="14"/>
  <c r="G182" i="14"/>
  <c r="G178" i="14"/>
  <c r="G118" i="14"/>
  <c r="G122" i="14"/>
  <c r="G97" i="14"/>
  <c r="G105" i="14"/>
  <c r="G78" i="14"/>
  <c r="G71" i="14"/>
  <c r="G60" i="14"/>
  <c r="G68" i="14"/>
  <c r="G14" i="14"/>
  <c r="G22" i="14"/>
  <c r="G183" i="14"/>
  <c r="G175" i="14"/>
  <c r="G169" i="14"/>
  <c r="G111" i="14"/>
  <c r="G115" i="14"/>
  <c r="G119" i="14"/>
  <c r="G131" i="14"/>
  <c r="G135" i="14"/>
  <c r="G109" i="14"/>
  <c r="G98" i="14"/>
  <c r="G102" i="14"/>
  <c r="G91" i="14"/>
  <c r="G61" i="14"/>
  <c r="G69" i="14"/>
  <c r="G15" i="14"/>
  <c r="G31" i="14"/>
  <c r="H103" i="14"/>
  <c r="H115" i="14"/>
  <c r="H118" i="14"/>
  <c r="H50" i="14"/>
  <c r="C38" i="17"/>
  <c r="C37" i="17"/>
  <c r="D19" i="14"/>
  <c r="C17" i="17"/>
  <c r="C16" i="17"/>
  <c r="D14" i="14"/>
  <c r="C15" i="17"/>
  <c r="D80" i="14"/>
  <c r="H183" i="14" l="1"/>
  <c r="H111" i="14"/>
  <c r="H121" i="14"/>
  <c r="G93" i="14"/>
  <c r="G156" i="14"/>
  <c r="G170" i="14"/>
  <c r="H168" i="14"/>
  <c r="H170" i="14"/>
  <c r="H31" i="14"/>
  <c r="G53" i="14"/>
  <c r="G153" i="14"/>
  <c r="G134" i="14"/>
  <c r="G37" i="14"/>
  <c r="G133" i="14"/>
  <c r="G43" i="14"/>
  <c r="G101" i="14"/>
  <c r="G58" i="14"/>
  <c r="G176" i="14"/>
  <c r="H162" i="14"/>
  <c r="G148" i="14"/>
  <c r="H15" i="14"/>
  <c r="G79" i="14"/>
  <c r="G179" i="14"/>
  <c r="G126" i="14"/>
  <c r="G33" i="14"/>
  <c r="G129" i="14"/>
  <c r="G65" i="14"/>
  <c r="G130" i="14"/>
  <c r="G54" i="14"/>
  <c r="G184" i="14"/>
  <c r="G162" i="14"/>
  <c r="H149" i="14"/>
  <c r="G149" i="14"/>
  <c r="G80" i="14"/>
  <c r="G155" i="14"/>
  <c r="G165" i="14"/>
  <c r="H158" i="14"/>
  <c r="G166" i="14"/>
  <c r="G127" i="14"/>
  <c r="G34" i="14"/>
  <c r="G160" i="14"/>
  <c r="G45" i="14"/>
  <c r="G92" i="14"/>
  <c r="G185" i="14"/>
  <c r="G38" i="14"/>
  <c r="G16" i="14"/>
  <c r="G84" i="14"/>
  <c r="G152" i="14"/>
  <c r="G167" i="14"/>
  <c r="G158" i="14"/>
  <c r="G35" i="14"/>
  <c r="H185" i="14"/>
  <c r="G47" i="14"/>
  <c r="G123" i="14"/>
  <c r="G46" i="14"/>
  <c r="G151" i="14"/>
  <c r="G50" i="14"/>
  <c r="G138" i="14"/>
  <c r="G23" i="14"/>
  <c r="G49" i="14"/>
  <c r="G40" i="14"/>
  <c r="G89" i="14"/>
  <c r="G180" i="14"/>
  <c r="H144" i="14"/>
  <c r="H156" i="14"/>
  <c r="H171" i="14"/>
  <c r="G171" i="14"/>
  <c r="G120" i="14"/>
  <c r="H26" i="14"/>
  <c r="G163" i="14"/>
  <c r="G147" i="14"/>
  <c r="H141" i="14"/>
  <c r="G141" i="14"/>
  <c r="H167" i="14"/>
  <c r="H122" i="14"/>
  <c r="H84" i="14"/>
  <c r="H28" i="14"/>
  <c r="H25" i="14"/>
  <c r="H151" i="14"/>
  <c r="H75" i="14"/>
  <c r="H150" i="14"/>
  <c r="H110" i="14"/>
  <c r="H143" i="14"/>
  <c r="H98" i="14"/>
  <c r="H132" i="14"/>
  <c r="G140" i="14"/>
  <c r="H166" i="14"/>
  <c r="H119" i="14"/>
  <c r="H114" i="14"/>
  <c r="H23" i="14"/>
  <c r="H20" i="14"/>
  <c r="H126" i="14"/>
  <c r="H19" i="14"/>
  <c r="H67" i="14"/>
  <c r="H134" i="14"/>
  <c r="H16" i="14"/>
  <c r="H92" i="14"/>
  <c r="H14" i="14"/>
  <c r="H163" i="14"/>
  <c r="H172" i="14"/>
  <c r="H117" i="14"/>
  <c r="H49" i="14"/>
  <c r="H140" i="14"/>
  <c r="H47" i="14"/>
  <c r="H148" i="14"/>
  <c r="H147" i="14"/>
  <c r="H68" i="14"/>
  <c r="H137" i="14"/>
  <c r="H154" i="14"/>
  <c r="H155" i="14"/>
  <c r="H131" i="14"/>
  <c r="H165" i="14"/>
  <c r="H128" i="14"/>
  <c r="G142" i="14"/>
  <c r="H142" i="14"/>
  <c r="H89" i="14"/>
  <c r="H56" i="14"/>
  <c r="C42" i="17"/>
  <c r="D13" i="14"/>
  <c r="C12" i="17"/>
  <c r="C31" i="17"/>
  <c r="D17" i="14"/>
  <c r="C30" i="17"/>
  <c r="C25" i="17"/>
  <c r="C11" i="17"/>
  <c r="C8" i="17"/>
  <c r="H17" i="14" l="1"/>
  <c r="D29" i="14"/>
  <c r="C13" i="18"/>
  <c r="C69" i="17"/>
  <c r="D32" i="14"/>
  <c r="D102" i="14"/>
  <c r="D104" i="14"/>
  <c r="D105" i="14"/>
  <c r="C221" i="17"/>
  <c r="C163" i="17"/>
  <c r="C159" i="17"/>
  <c r="C278" i="17"/>
  <c r="D61" i="14"/>
  <c r="D60" i="14"/>
  <c r="H61" i="14" l="1"/>
  <c r="H105" i="14"/>
  <c r="H104" i="14"/>
  <c r="H102" i="14"/>
  <c r="H32" i="14"/>
  <c r="H60" i="14"/>
  <c r="H29" i="14"/>
  <c r="D66" i="14"/>
  <c r="D97" i="14"/>
  <c r="D79" i="14"/>
  <c r="D78" i="14"/>
  <c r="H66" i="14" l="1"/>
  <c r="D77" i="14"/>
  <c r="D136" i="14"/>
  <c r="H135" i="14"/>
  <c r="H120" i="14"/>
  <c r="D124" i="14" l="1"/>
  <c r="H136" i="14"/>
  <c r="H77" i="14"/>
  <c r="C220" i="17"/>
  <c r="C219" i="17"/>
  <c r="D125" i="14" l="1"/>
  <c r="C92" i="17"/>
  <c r="C91" i="17"/>
  <c r="C90" i="17"/>
  <c r="C87" i="17"/>
  <c r="C84" i="17"/>
  <c r="C81" i="17"/>
  <c r="C78" i="17"/>
  <c r="C75" i="17"/>
  <c r="C72" i="17"/>
  <c r="C68" i="17"/>
  <c r="C304" i="17"/>
  <c r="C294" i="17"/>
  <c r="C293" i="17"/>
  <c r="C292" i="17"/>
  <c r="D100" i="14"/>
  <c r="C289" i="17"/>
  <c r="C288" i="17"/>
  <c r="C287" i="17"/>
  <c r="C265" i="17"/>
  <c r="C257" i="17"/>
  <c r="C251" i="17"/>
  <c r="C250" i="17"/>
  <c r="C249" i="17"/>
  <c r="D180" i="14" l="1"/>
  <c r="C216" i="17"/>
  <c r="C215" i="17"/>
  <c r="C214" i="17"/>
  <c r="C199" i="17"/>
  <c r="C198" i="17"/>
  <c r="C192" i="17" l="1"/>
  <c r="C188" i="17"/>
  <c r="C171" i="17"/>
  <c r="C167" i="17"/>
  <c r="C166" i="17"/>
  <c r="C284" i="17"/>
  <c r="C301" i="17"/>
  <c r="C302" i="17"/>
  <c r="C303" i="17"/>
  <c r="C124" i="17"/>
  <c r="C123" i="17"/>
  <c r="C122" i="17"/>
  <c r="C121" i="17"/>
  <c r="H57" i="14"/>
  <c r="N8" i="19"/>
  <c r="N3" i="19"/>
  <c r="N7" i="19" s="1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4" i="19"/>
  <c r="D40" i="14"/>
  <c r="H5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4" i="19"/>
  <c r="D39" i="14"/>
  <c r="D38" i="14"/>
  <c r="D37" i="14"/>
  <c r="D35" i="14"/>
  <c r="D34" i="14"/>
  <c r="D33" i="14"/>
  <c r="C25" i="18"/>
  <c r="C21" i="18"/>
  <c r="C20" i="18"/>
  <c r="C24" i="18" s="1"/>
  <c r="C4" i="18"/>
  <c r="C8" i="18" s="1"/>
  <c r="C12" i="18" s="1"/>
  <c r="D113" i="14"/>
  <c r="H109" i="14"/>
  <c r="H95" i="14"/>
  <c r="H96" i="14"/>
  <c r="D27" i="14"/>
  <c r="D101" i="14"/>
  <c r="D69" i="14"/>
  <c r="D99" i="14"/>
  <c r="D81" i="14"/>
  <c r="D65" i="14"/>
  <c r="D53" i="14"/>
  <c r="D52" i="14"/>
  <c r="E21" i="15"/>
  <c r="D21" i="15"/>
  <c r="J3" i="15" s="1"/>
  <c r="D18" i="14"/>
  <c r="H69" i="14" l="1"/>
  <c r="D93" i="14"/>
  <c r="H27" i="14"/>
  <c r="H101" i="14"/>
  <c r="H40" i="14"/>
  <c r="H113" i="14"/>
  <c r="H65" i="14"/>
  <c r="H81" i="14"/>
  <c r="H37" i="14"/>
  <c r="H39" i="14"/>
  <c r="H34" i="14"/>
  <c r="D36" i="14"/>
  <c r="D112" i="14"/>
  <c r="D21" i="14"/>
  <c r="H20" i="19"/>
  <c r="D175" i="14"/>
  <c r="D174" i="14"/>
  <c r="D178" i="14"/>
  <c r="G20" i="19"/>
  <c r="J20" i="19"/>
  <c r="N9" i="19"/>
  <c r="N6" i="19"/>
  <c r="I20" i="19"/>
  <c r="C22" i="18"/>
  <c r="C19" i="18"/>
  <c r="C23" i="18"/>
  <c r="C11" i="18"/>
  <c r="C9" i="18"/>
  <c r="C7" i="18"/>
  <c r="C10" i="18"/>
  <c r="D54" i="14"/>
  <c r="D64" i="14"/>
  <c r="D74" i="14"/>
  <c r="H72" i="14"/>
  <c r="D63" i="14"/>
  <c r="H13" i="14"/>
  <c r="C10" i="17"/>
  <c r="C8" i="16"/>
  <c r="C9" i="17"/>
  <c r="C4" i="17"/>
  <c r="C7" i="17"/>
  <c r="C26" i="17"/>
  <c r="C50" i="17"/>
  <c r="C116" i="17"/>
  <c r="C117" i="17"/>
  <c r="C118" i="17"/>
  <c r="C119" i="17"/>
  <c r="C120" i="17"/>
  <c r="C174" i="17"/>
  <c r="C175" i="17"/>
  <c r="C176" i="17"/>
  <c r="C179" i="17"/>
  <c r="C162" i="17"/>
  <c r="C182" i="17" s="1"/>
  <c r="C141" i="17"/>
  <c r="C156" i="17"/>
  <c r="D22" i="14"/>
  <c r="C6" i="16"/>
  <c r="C18" i="16" s="1"/>
  <c r="C7" i="16"/>
  <c r="C17" i="16" s="1"/>
  <c r="H18" i="14"/>
  <c r="H24" i="14"/>
  <c r="D91" i="14"/>
  <c r="H97" i="14"/>
  <c r="D107" i="14"/>
  <c r="H63" i="14" l="1"/>
  <c r="H74" i="14"/>
  <c r="H22" i="14"/>
  <c r="D176" i="14"/>
  <c r="H107" i="14"/>
  <c r="H93" i="14"/>
  <c r="D94" i="14"/>
  <c r="H21" i="14"/>
  <c r="H54" i="14"/>
  <c r="C107" i="17"/>
  <c r="D46" i="14"/>
  <c r="C101" i="17"/>
  <c r="D43" i="14"/>
  <c r="C98" i="17"/>
  <c r="D42" i="14"/>
  <c r="C104" i="17"/>
  <c r="D45" i="14"/>
  <c r="D85" i="14"/>
  <c r="L126" i="12"/>
  <c r="M126" i="12"/>
  <c r="H106" i="14" l="1"/>
  <c r="D86" i="14"/>
  <c r="D179" i="14"/>
  <c r="H42" i="14"/>
  <c r="D44" i="14"/>
  <c r="D177" i="14"/>
  <c r="H175" i="14"/>
  <c r="H45" i="14"/>
  <c r="H43" i="14"/>
  <c r="C9" i="7"/>
  <c r="D34" i="13" l="1"/>
  <c r="H177" i="14"/>
  <c r="H179" i="14"/>
  <c r="H86" i="14"/>
  <c r="D15" i="7"/>
  <c r="D14" i="7"/>
  <c r="D13" i="7"/>
  <c r="D12" i="7"/>
  <c r="D11" i="7"/>
  <c r="D10" i="7"/>
  <c r="D7" i="7"/>
  <c r="D6" i="7"/>
  <c r="D5" i="7"/>
  <c r="H182" i="14"/>
  <c r="H169" i="14"/>
  <c r="H138" i="14"/>
  <c r="H116" i="14"/>
  <c r="H82" i="14"/>
  <c r="H55" i="14"/>
  <c r="H184" i="14"/>
  <c r="H178" i="14"/>
  <c r="H176" i="14"/>
  <c r="H160" i="14"/>
  <c r="H157" i="14"/>
  <c r="H153" i="14"/>
  <c r="H152" i="14"/>
  <c r="H133" i="14"/>
  <c r="H130" i="14"/>
  <c r="H129" i="14"/>
  <c r="H125" i="14"/>
  <c r="H124" i="14"/>
  <c r="H123" i="14"/>
  <c r="H112" i="14"/>
  <c r="H180" i="14"/>
  <c r="H99" i="14"/>
  <c r="H94" i="14"/>
  <c r="H91" i="14"/>
  <c r="H87" i="14"/>
  <c r="H80" i="14"/>
  <c r="H79" i="14"/>
  <c r="H78" i="14"/>
  <c r="H71" i="14"/>
  <c r="H64" i="14"/>
  <c r="H62" i="14"/>
  <c r="D59" i="14"/>
  <c r="H58" i="14"/>
  <c r="H53" i="14"/>
  <c r="H52" i="14"/>
  <c r="H46" i="14"/>
  <c r="H38" i="14"/>
  <c r="H35" i="14"/>
  <c r="H33" i="14"/>
  <c r="G11" i="14"/>
  <c r="D11" i="14"/>
  <c r="H70" i="14" l="1"/>
  <c r="H59" i="14"/>
  <c r="H11" i="14"/>
  <c r="H181" i="14"/>
  <c r="H108" i="14"/>
  <c r="D36" i="13" s="1"/>
  <c r="H51" i="14"/>
  <c r="D20" i="13" s="1"/>
  <c r="H100" i="14"/>
  <c r="H44" i="14"/>
  <c r="H174" i="14"/>
  <c r="H73" i="14"/>
  <c r="H76" i="14"/>
  <c r="D26" i="13" s="1"/>
  <c r="H88" i="14"/>
  <c r="H36" i="14"/>
  <c r="H85" i="14"/>
  <c r="D22" i="13" l="1"/>
  <c r="D30" i="13"/>
  <c r="D24" i="13"/>
  <c r="H41" i="14"/>
  <c r="D16" i="13" s="1"/>
  <c r="H10" i="14"/>
  <c r="H30" i="14"/>
  <c r="D42" i="13"/>
  <c r="H90" i="14"/>
  <c r="H173" i="14"/>
  <c r="H139" i="14"/>
  <c r="H12" i="14"/>
  <c r="D12" i="13" s="1"/>
  <c r="H83" i="14"/>
  <c r="D28" i="13" s="1"/>
  <c r="D14" i="13"/>
  <c r="D10" i="13" l="1"/>
  <c r="D40" i="13"/>
  <c r="D32" i="13"/>
  <c r="D38" i="13"/>
  <c r="C22" i="5"/>
  <c r="C3" i="7"/>
  <c r="H125" i="12"/>
  <c r="H124" i="12"/>
  <c r="L124" i="12" s="1"/>
  <c r="M124" i="12" s="1"/>
  <c r="H123" i="12"/>
  <c r="H122" i="12"/>
  <c r="H121" i="12"/>
  <c r="L121" i="12" s="1"/>
  <c r="M121" i="12" s="1"/>
  <c r="H120" i="12"/>
  <c r="L120" i="12" s="1"/>
  <c r="M120" i="12" s="1"/>
  <c r="H119" i="12"/>
  <c r="L118" i="12"/>
  <c r="M118" i="12" s="1"/>
  <c r="L119" i="12"/>
  <c r="M119" i="12"/>
  <c r="L122" i="12"/>
  <c r="M122" i="12" s="1"/>
  <c r="L123" i="12"/>
  <c r="M123" i="12" s="1"/>
  <c r="L125" i="12"/>
  <c r="M125" i="12" s="1"/>
  <c r="H118" i="12"/>
  <c r="H117" i="12"/>
  <c r="L117" i="12" s="1"/>
  <c r="M117" i="12" s="1"/>
  <c r="H116" i="12"/>
  <c r="L116" i="12" s="1"/>
  <c r="M116" i="12" s="1"/>
  <c r="H115" i="12"/>
  <c r="L115" i="12" s="1"/>
  <c r="M115" i="12" s="1"/>
  <c r="H114" i="12"/>
  <c r="L114" i="12" s="1"/>
  <c r="M114" i="12" s="1"/>
  <c r="H113" i="12"/>
  <c r="L113" i="12" s="1"/>
  <c r="M113" i="12" s="1"/>
  <c r="H112" i="12"/>
  <c r="L112" i="12" s="1"/>
  <c r="M112" i="12" s="1"/>
  <c r="H111" i="12"/>
  <c r="L111" i="12" s="1"/>
  <c r="M111" i="12" s="1"/>
  <c r="H110" i="12"/>
  <c r="L110" i="12" s="1"/>
  <c r="M110" i="12" s="1"/>
  <c r="H109" i="12"/>
  <c r="L109" i="12" s="1"/>
  <c r="M109" i="12" s="1"/>
  <c r="H108" i="12"/>
  <c r="L108" i="12" s="1"/>
  <c r="M108" i="12" s="1"/>
  <c r="H107" i="12"/>
  <c r="L107" i="12" s="1"/>
  <c r="M107" i="12" s="1"/>
  <c r="H106" i="12"/>
  <c r="L106" i="12" s="1"/>
  <c r="M106" i="12" s="1"/>
  <c r="H105" i="12"/>
  <c r="L105" i="12" s="1"/>
  <c r="M105" i="12" s="1"/>
  <c r="H104" i="12"/>
  <c r="L104" i="12" s="1"/>
  <c r="M104" i="12" s="1"/>
  <c r="H103" i="12"/>
  <c r="L103" i="12" s="1"/>
  <c r="M103" i="12" s="1"/>
  <c r="H102" i="12"/>
  <c r="L102" i="12" s="1"/>
  <c r="M102" i="12" s="1"/>
  <c r="H101" i="12"/>
  <c r="L101" i="12" s="1"/>
  <c r="M101" i="12" s="1"/>
  <c r="H100" i="12"/>
  <c r="L100" i="12" s="1"/>
  <c r="M100" i="12" s="1"/>
  <c r="H99" i="12"/>
  <c r="L99" i="12" s="1"/>
  <c r="M99" i="12" s="1"/>
  <c r="H98" i="12"/>
  <c r="L98" i="12" s="1"/>
  <c r="M98" i="12" s="1"/>
  <c r="H97" i="12"/>
  <c r="L97" i="12" s="1"/>
  <c r="M97" i="12" s="1"/>
  <c r="H96" i="12"/>
  <c r="L96" i="12" s="1"/>
  <c r="M96" i="12" s="1"/>
  <c r="H95" i="12"/>
  <c r="L95" i="12" s="1"/>
  <c r="M95" i="12" s="1"/>
  <c r="H94" i="12"/>
  <c r="L94" i="12" s="1"/>
  <c r="M94" i="12" s="1"/>
  <c r="H93" i="12"/>
  <c r="H92" i="12"/>
  <c r="L92" i="12" s="1"/>
  <c r="M92" i="12" s="1"/>
  <c r="H91" i="12"/>
  <c r="L91" i="12" s="1"/>
  <c r="M91" i="12" s="1"/>
  <c r="H90" i="12"/>
  <c r="L90" i="12" s="1"/>
  <c r="M90" i="12" s="1"/>
  <c r="H89" i="12"/>
  <c r="L89" i="12" s="1"/>
  <c r="M89" i="12" s="1"/>
  <c r="H88" i="12"/>
  <c r="L88" i="12" s="1"/>
  <c r="M88" i="12" s="1"/>
  <c r="H87" i="12"/>
  <c r="L87" i="12" s="1"/>
  <c r="M87" i="12" s="1"/>
  <c r="H86" i="12"/>
  <c r="L86" i="12" s="1"/>
  <c r="M86" i="12" s="1"/>
  <c r="H85" i="12"/>
  <c r="L85" i="12" s="1"/>
  <c r="M85" i="12" s="1"/>
  <c r="H84" i="12"/>
  <c r="L84" i="12" s="1"/>
  <c r="M84" i="12" s="1"/>
  <c r="H83" i="12"/>
  <c r="L83" i="12" s="1"/>
  <c r="M83" i="12" s="1"/>
  <c r="H82" i="12"/>
  <c r="L82" i="12" s="1"/>
  <c r="M82" i="12" s="1"/>
  <c r="H81" i="12"/>
  <c r="L81" i="12" s="1"/>
  <c r="M81" i="12" s="1"/>
  <c r="H80" i="12"/>
  <c r="L80" i="12" s="1"/>
  <c r="M80" i="12" s="1"/>
  <c r="H79" i="12"/>
  <c r="L79" i="12" s="1"/>
  <c r="M79" i="12" s="1"/>
  <c r="H78" i="12"/>
  <c r="L78" i="12" s="1"/>
  <c r="M78" i="12" s="1"/>
  <c r="H77" i="12"/>
  <c r="L77" i="12" s="1"/>
  <c r="M77" i="12" s="1"/>
  <c r="H76" i="12"/>
  <c r="L76" i="12" s="1"/>
  <c r="M76" i="12" s="1"/>
  <c r="H75" i="12"/>
  <c r="L75" i="12" s="1"/>
  <c r="M75" i="12" s="1"/>
  <c r="H74" i="12"/>
  <c r="L74" i="12" s="1"/>
  <c r="M74" i="12" s="1"/>
  <c r="H73" i="12"/>
  <c r="L73" i="12" s="1"/>
  <c r="M73" i="12" s="1"/>
  <c r="H72" i="12"/>
  <c r="L72" i="12" s="1"/>
  <c r="M72" i="12" s="1"/>
  <c r="H71" i="12"/>
  <c r="L71" i="12" s="1"/>
  <c r="M71" i="12" s="1"/>
  <c r="H70" i="12"/>
  <c r="L70" i="12" s="1"/>
  <c r="M70" i="12" s="1"/>
  <c r="H69" i="12"/>
  <c r="L69" i="12" s="1"/>
  <c r="M69" i="12" s="1"/>
  <c r="H68" i="12"/>
  <c r="L68" i="12" s="1"/>
  <c r="M68" i="12" s="1"/>
  <c r="H67" i="12"/>
  <c r="L67" i="12" s="1"/>
  <c r="M67" i="12" s="1"/>
  <c r="H66" i="12"/>
  <c r="L66" i="12" s="1"/>
  <c r="M66" i="12" s="1"/>
  <c r="H65" i="12"/>
  <c r="L65" i="12" s="1"/>
  <c r="M65" i="12" s="1"/>
  <c r="H64" i="12"/>
  <c r="L64" i="12" s="1"/>
  <c r="M64" i="12" s="1"/>
  <c r="H63" i="12"/>
  <c r="L63" i="12" s="1"/>
  <c r="M63" i="12" s="1"/>
  <c r="H62" i="12"/>
  <c r="L62" i="12" s="1"/>
  <c r="M62" i="12" s="1"/>
  <c r="H61" i="12"/>
  <c r="L61" i="12" s="1"/>
  <c r="M61" i="12" s="1"/>
  <c r="H60" i="12"/>
  <c r="L60" i="12" s="1"/>
  <c r="M60" i="12" s="1"/>
  <c r="H59" i="12"/>
  <c r="L59" i="12" s="1"/>
  <c r="M59" i="12" s="1"/>
  <c r="H58" i="12"/>
  <c r="L58" i="12" s="1"/>
  <c r="M58" i="12" s="1"/>
  <c r="H57" i="12"/>
  <c r="L57" i="12" s="1"/>
  <c r="M57" i="12" s="1"/>
  <c r="H56" i="12"/>
  <c r="L56" i="12" s="1"/>
  <c r="M56" i="12" s="1"/>
  <c r="H55" i="12"/>
  <c r="L55" i="12" s="1"/>
  <c r="M55" i="12" s="1"/>
  <c r="H54" i="12"/>
  <c r="L54" i="12" s="1"/>
  <c r="M54" i="12" s="1"/>
  <c r="H53" i="12"/>
  <c r="L53" i="12" s="1"/>
  <c r="M53" i="12" s="1"/>
  <c r="H52" i="12"/>
  <c r="L52" i="12" s="1"/>
  <c r="M52" i="12" s="1"/>
  <c r="H51" i="12"/>
  <c r="L51" i="12" s="1"/>
  <c r="L93" i="12"/>
  <c r="M93" i="12" s="1"/>
  <c r="I44" i="12" l="1"/>
  <c r="M44" i="12" s="1"/>
  <c r="K44" i="12"/>
  <c r="N19" i="12"/>
  <c r="P19" i="12"/>
  <c r="O19" i="12"/>
  <c r="K19" i="12"/>
  <c r="H19" i="12"/>
  <c r="M19" i="12"/>
  <c r="K43" i="12"/>
  <c r="K42" i="12"/>
  <c r="K41" i="12"/>
  <c r="K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45" i="12" l="1"/>
  <c r="K45" i="12"/>
  <c r="C42" i="5"/>
  <c r="C43" i="5" s="1"/>
  <c r="E9" i="5"/>
  <c r="E10" i="5"/>
  <c r="E11" i="5"/>
  <c r="E12" i="5"/>
  <c r="E13" i="5"/>
  <c r="E14" i="5"/>
  <c r="E15" i="5"/>
  <c r="E16" i="5"/>
  <c r="E17" i="5"/>
  <c r="C21" i="5"/>
  <c r="E21" i="5" s="1"/>
  <c r="C23" i="5"/>
  <c r="E23" i="5" s="1"/>
  <c r="H6" i="5" l="1"/>
  <c r="C8" i="5"/>
  <c r="E8" i="5" s="1"/>
  <c r="C7" i="5"/>
  <c r="E7" i="5" s="1"/>
  <c r="C6" i="5"/>
  <c r="E6" i="5" s="1"/>
  <c r="C5" i="5"/>
  <c r="C4" i="7"/>
  <c r="C14" i="7"/>
  <c r="C13" i="7"/>
  <c r="C12" i="7"/>
  <c r="C11" i="7"/>
  <c r="C10" i="7"/>
  <c r="C8" i="7"/>
  <c r="C7" i="7"/>
  <c r="C6" i="7"/>
  <c r="C5" i="7"/>
  <c r="E5" i="5" l="1"/>
  <c r="H7" i="5"/>
  <c r="H5" i="5"/>
  <c r="C15" i="7"/>
  <c r="H48" i="14" s="1"/>
  <c r="D18" i="13" s="1"/>
  <c r="Q47" i="13" l="1"/>
  <c r="M47" i="13"/>
  <c r="I47" i="13"/>
  <c r="E47" i="13"/>
  <c r="H186" i="14"/>
  <c r="I161" i="14" l="1"/>
  <c r="I103" i="14"/>
  <c r="I145" i="14"/>
  <c r="I164" i="14"/>
  <c r="I115" i="14"/>
  <c r="I159" i="14"/>
  <c r="I127" i="14"/>
  <c r="I146" i="14"/>
  <c r="I118" i="14"/>
  <c r="I166" i="14"/>
  <c r="I163" i="14"/>
  <c r="I162" i="14"/>
  <c r="I89" i="14"/>
  <c r="I183" i="14"/>
  <c r="I155" i="14"/>
  <c r="I111" i="14"/>
  <c r="I49" i="14"/>
  <c r="I149" i="14"/>
  <c r="I147" i="14"/>
  <c r="I92" i="14"/>
  <c r="I137" i="14"/>
  <c r="I23" i="14"/>
  <c r="I140" i="14"/>
  <c r="I26" i="14"/>
  <c r="I158" i="14"/>
  <c r="I25" i="14"/>
  <c r="I165" i="14"/>
  <c r="I141" i="14"/>
  <c r="I134" i="14"/>
  <c r="I171" i="14"/>
  <c r="I117" i="14"/>
  <c r="I172" i="14"/>
  <c r="I68" i="14"/>
  <c r="I122" i="14"/>
  <c r="I119" i="14"/>
  <c r="I67" i="14"/>
  <c r="I167" i="14"/>
  <c r="I84" i="14"/>
  <c r="I148" i="14"/>
  <c r="I156" i="14"/>
  <c r="I31" i="14"/>
  <c r="I16" i="14"/>
  <c r="I170" i="14"/>
  <c r="I121" i="14"/>
  <c r="I20" i="14"/>
  <c r="I142" i="14"/>
  <c r="I110" i="14"/>
  <c r="I14" i="14"/>
  <c r="I151" i="14"/>
  <c r="I132" i="14"/>
  <c r="I98" i="14"/>
  <c r="I128" i="14"/>
  <c r="I56" i="14"/>
  <c r="I114" i="14"/>
  <c r="I150" i="14"/>
  <c r="I28" i="14"/>
  <c r="I15" i="14"/>
  <c r="I144" i="14"/>
  <c r="I126" i="14"/>
  <c r="I168" i="14"/>
  <c r="I19" i="14"/>
  <c r="I154" i="14"/>
  <c r="I131" i="14"/>
  <c r="I47" i="14"/>
  <c r="I143" i="14"/>
  <c r="I17" i="14"/>
  <c r="I29" i="14"/>
  <c r="I32" i="14"/>
  <c r="I105" i="14"/>
  <c r="I60" i="14"/>
  <c r="I102" i="14"/>
  <c r="I104" i="14"/>
  <c r="I61" i="14"/>
  <c r="I135" i="14"/>
  <c r="I120" i="14"/>
  <c r="I66" i="14"/>
  <c r="I136" i="14"/>
  <c r="I96" i="14"/>
  <c r="I95" i="14"/>
  <c r="I109" i="14"/>
  <c r="I57" i="14"/>
  <c r="I113" i="14"/>
  <c r="I37" i="14"/>
  <c r="I27" i="14"/>
  <c r="I40" i="14"/>
  <c r="I39" i="14"/>
  <c r="I69" i="14"/>
  <c r="I81" i="14"/>
  <c r="I24" i="14"/>
  <c r="I34" i="14"/>
  <c r="I97" i="14"/>
  <c r="I65" i="14"/>
  <c r="I101" i="14"/>
  <c r="I18" i="14"/>
  <c r="I54" i="14"/>
  <c r="I22" i="14"/>
  <c r="I21" i="14"/>
  <c r="I93" i="14"/>
  <c r="I107" i="14"/>
  <c r="I63" i="14"/>
  <c r="I43" i="14"/>
  <c r="I45" i="14"/>
  <c r="I106" i="14"/>
  <c r="I175" i="14"/>
  <c r="I55" i="14"/>
  <c r="I153" i="14"/>
  <c r="I176" i="14"/>
  <c r="I99" i="14"/>
  <c r="I160" i="14"/>
  <c r="I180" i="14"/>
  <c r="I124" i="14"/>
  <c r="I112" i="14"/>
  <c r="I64" i="14"/>
  <c r="I33" i="14"/>
  <c r="I178" i="14"/>
  <c r="I179" i="14"/>
  <c r="I177" i="14"/>
  <c r="I157" i="14"/>
  <c r="I78" i="14"/>
  <c r="I53" i="14"/>
  <c r="I62" i="14"/>
  <c r="I58" i="14"/>
  <c r="I129" i="14"/>
  <c r="I123" i="14"/>
  <c r="I116" i="14"/>
  <c r="I125" i="14"/>
  <c r="I35" i="14"/>
  <c r="I71" i="14"/>
  <c r="I79" i="14"/>
  <c r="I152" i="14"/>
  <c r="I94" i="14"/>
  <c r="I138" i="14"/>
  <c r="I184" i="14"/>
  <c r="I130" i="14"/>
  <c r="I169" i="14"/>
  <c r="I80" i="14"/>
  <c r="I38" i="14"/>
  <c r="I86" i="14"/>
  <c r="I182" i="14"/>
  <c r="I133" i="14"/>
  <c r="I46" i="14"/>
  <c r="I87" i="14"/>
  <c r="I91" i="14"/>
  <c r="I52" i="14"/>
  <c r="I100" i="14"/>
  <c r="I85" i="14"/>
  <c r="I59" i="14"/>
  <c r="I36" i="14"/>
  <c r="I70" i="14"/>
  <c r="I174" i="14"/>
  <c r="I88" i="14"/>
  <c r="I44" i="14"/>
  <c r="I73" i="14"/>
  <c r="I11" i="14"/>
  <c r="I139" i="14"/>
  <c r="I173" i="14"/>
  <c r="I90" i="14"/>
  <c r="I10" i="14"/>
  <c r="I185" i="14"/>
  <c r="I42" i="14"/>
  <c r="I41" i="14"/>
  <c r="I51" i="14"/>
  <c r="I77" i="14"/>
  <c r="I75" i="14"/>
  <c r="I72" i="14"/>
  <c r="I108" i="14"/>
  <c r="I12" i="14"/>
  <c r="I83" i="14"/>
  <c r="I50" i="14"/>
  <c r="I13" i="14" l="1"/>
  <c r="I74" i="14"/>
  <c r="I82" i="14"/>
  <c r="I76" i="14"/>
  <c r="I30" i="14"/>
  <c r="I181" i="14"/>
  <c r="I48" i="14"/>
  <c r="I186" i="14" l="1"/>
  <c r="K126" i="12"/>
  <c r="J126" i="12"/>
  <c r="M51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23" i="12"/>
  <c r="M45" i="12" l="1"/>
  <c r="N126" i="12" l="1"/>
  <c r="F7" i="2" l="1"/>
  <c r="F8" i="2" l="1"/>
  <c r="F4" i="2" l="1"/>
  <c r="F5" i="2"/>
  <c r="F6" i="2"/>
  <c r="F3" i="2"/>
  <c r="F9" i="2" l="1"/>
  <c r="X50" i="13" l="1"/>
  <c r="X51" i="13"/>
  <c r="X52" i="13"/>
  <c r="D44" i="13" l="1"/>
  <c r="E48" i="13"/>
  <c r="I48" i="13" s="1"/>
  <c r="W50" i="13" s="1"/>
  <c r="X49" i="13"/>
  <c r="W49" i="13" l="1"/>
  <c r="M48" i="13"/>
  <c r="W51" i="13" s="1"/>
  <c r="Q48" i="13" l="1"/>
  <c r="Q45" i="13" l="1"/>
  <c r="E45" i="13"/>
  <c r="I45" i="13"/>
  <c r="M45" i="13"/>
  <c r="W52" i="13"/>
  <c r="E46" i="13" l="1"/>
  <c r="I46" i="13" l="1"/>
  <c r="M46" i="13" s="1"/>
  <c r="Q46" i="13" s="1"/>
</calcChain>
</file>

<file path=xl/sharedStrings.xml><?xml version="1.0" encoding="utf-8"?>
<sst xmlns="http://schemas.openxmlformats.org/spreadsheetml/2006/main" count="1811" uniqueCount="1073">
  <si>
    <t>Item</t>
  </si>
  <si>
    <t>Descrição</t>
  </si>
  <si>
    <t>Quantidade</t>
  </si>
  <si>
    <t>Unidade</t>
  </si>
  <si>
    <t>Custo unitário (sem BDI)</t>
  </si>
  <si>
    <t>m²</t>
  </si>
  <si>
    <t>m³</t>
  </si>
  <si>
    <t>m</t>
  </si>
  <si>
    <t>PLANILHA ORÇAMENTÁRIA</t>
  </si>
  <si>
    <t>OBRA</t>
  </si>
  <si>
    <t>BDI</t>
  </si>
  <si>
    <t>DATA</t>
  </si>
  <si>
    <t>ENDEREÇO</t>
  </si>
  <si>
    <t>OBSERVAÇÕES:</t>
  </si>
  <si>
    <t>DIRETORIA DE ENGENHARIA</t>
  </si>
  <si>
    <t>CNPJ nº 46.634.127/0001-63</t>
  </si>
  <si>
    <t>PREFEITURA MUNICIPAL DE ITATINGA/SP</t>
  </si>
  <si>
    <t>Código CDHU</t>
  </si>
  <si>
    <t>12.01.021</t>
  </si>
  <si>
    <t>kg</t>
  </si>
  <si>
    <t>10.01.040</t>
  </si>
  <si>
    <t>09.01.030</t>
  </si>
  <si>
    <t>14.10.111</t>
  </si>
  <si>
    <t>03.02.040</t>
  </si>
  <si>
    <t>Espessura (m)</t>
  </si>
  <si>
    <t>Volume (m³)</t>
  </si>
  <si>
    <t>Comprimento (m)</t>
  </si>
  <si>
    <t>Altura (m)</t>
  </si>
  <si>
    <t>Total</t>
  </si>
  <si>
    <t xml:space="preserve">un </t>
  </si>
  <si>
    <t>24.03.310</t>
  </si>
  <si>
    <t>44.02.062</t>
  </si>
  <si>
    <t>19.01.062</t>
  </si>
  <si>
    <t>Placa em lona com impressão digital e estrutura em madeira</t>
  </si>
  <si>
    <t>02.08.050</t>
  </si>
  <si>
    <t>Demolição manual de alvenaria de elevação ou elemento vazado, incluindo revestimento</t>
  </si>
  <si>
    <t>Peitoril e/ou soleira em granito, espessura de 2 cm e largura até 20 cm, acabamento polido</t>
  </si>
  <si>
    <t>Tampo/bancada em granito, com frontão, espessura de 2 cm, acabamento polido</t>
  </si>
  <si>
    <t>INSTALAÇÕES E APARELHOS HIDROSSANITÁRIOS</t>
  </si>
  <si>
    <t>28.01.040</t>
  </si>
  <si>
    <t>18.08.090</t>
  </si>
  <si>
    <t>Ferragem completa com maçaneta tipo alavanca, para porta interna com 1 folha</t>
  </si>
  <si>
    <t>cj</t>
  </si>
  <si>
    <t>IMPERMEABILIZAÇÃO</t>
  </si>
  <si>
    <t>Impermeabilização em pintura de asfalto oxidado com solventes orgânicos, sobre massa</t>
  </si>
  <si>
    <t>32.16.010</t>
  </si>
  <si>
    <t>SOLEIRAS, PEITORIS E BANCADAS</t>
  </si>
  <si>
    <t>PISOS</t>
  </si>
  <si>
    <t>Revestimento em porcelanato esmaltado acetinado para área interna e ambiente com acesso ao exterior, grupo de absorção BIa, resistência química B, assentado com argamassa colante industrializada, rejuntado</t>
  </si>
  <si>
    <t>REVESTIMENTOS</t>
  </si>
  <si>
    <t>44.01.270</t>
  </si>
  <si>
    <t>Cuba de louça de embutir oval</t>
  </si>
  <si>
    <t>44.03.645</t>
  </si>
  <si>
    <t>Torneira de mesa automática, acionamento hidromecânico, em latão cromado, DN= 1/2´ou 3/4´</t>
  </si>
  <si>
    <t>44.20.010</t>
  </si>
  <si>
    <t>44.20.230</t>
  </si>
  <si>
    <t>Tubo de ligação para sanitário</t>
  </si>
  <si>
    <t>PINTURA</t>
  </si>
  <si>
    <t>33.10.030</t>
  </si>
  <si>
    <t>Tinta acrílica antimofo em massa, inclusive preparo</t>
  </si>
  <si>
    <t>33.02.080</t>
  </si>
  <si>
    <t>Massa corrida à base de resina acrílica</t>
  </si>
  <si>
    <t>18.08.100</t>
  </si>
  <si>
    <t>Rodapé em porcelanato esmaltado acetinado para área interna e ambiente com acesso ao exterior, grupo de absorção BIa, resistência química B, assentado com argamassa colante industrializada, rejuntado</t>
  </si>
  <si>
    <t>Emboço comum</t>
  </si>
  <si>
    <t>Reboco</t>
  </si>
  <si>
    <t>17.02.120</t>
  </si>
  <si>
    <t>17.02.220</t>
  </si>
  <si>
    <t>Regularização de piso com nata de cimento e adesivo de alto desempenho</t>
  </si>
  <si>
    <t>17.01.060</t>
  </si>
  <si>
    <t>Alvenaria de bloco de concreto de vedação de 14 x 19 x 39 cm ‐ classe C</t>
  </si>
  <si>
    <t>COBERTURA E SISTEMA PREDIAL DE ÁGUAS PLUVIAIS</t>
  </si>
  <si>
    <t>Tubo PVC, Série R, Água Pluvial, DN 100 mm, fornecido e instalado em condutores verticais de águas pluviais. AF_06_2022</t>
  </si>
  <si>
    <t>89578 (*)</t>
  </si>
  <si>
    <t>Calha, rufo, afins em chapa galvanizada nº 24 ‐ corte 0,33 m</t>
  </si>
  <si>
    <t>16.33.022</t>
  </si>
  <si>
    <t>89512 (*)</t>
  </si>
  <si>
    <t>Tubo PVC, Série R, Água Pluvial, DN 100 mm, fornecido e instalado em ramal de encaminhamento. AF_06_2022</t>
  </si>
  <si>
    <t>28.20.600</t>
  </si>
  <si>
    <t>Fechadura de centro com cilindro para porta em vidro temperado</t>
  </si>
  <si>
    <t>ELEMENTOS DE VEDAÇÃO VERTICAL</t>
  </si>
  <si>
    <t>17.02.020</t>
  </si>
  <si>
    <t>Chapisco</t>
  </si>
  <si>
    <t>47.04.040</t>
  </si>
  <si>
    <t>44.20.280</t>
  </si>
  <si>
    <t>Tampa de plástico para bacia sanitária</t>
  </si>
  <si>
    <t>47.02.020</t>
  </si>
  <si>
    <t>Registro de gaveta em latão fundido cromado com canopla, DN= 3/4´ ‐ linha especial</t>
  </si>
  <si>
    <t>46.01.020</t>
  </si>
  <si>
    <t>Tubo de PVC rígido soldável marrom, DN= 25 mm, (3/4´), inclusive conexões</t>
  </si>
  <si>
    <t>46.02.010</t>
  </si>
  <si>
    <t>Tubo de PVC rígido branco, pontas lisas, soldável, linha esgoto série normal, DN= 40 mm, inclusive conexões</t>
  </si>
  <si>
    <t>40.04.470</t>
  </si>
  <si>
    <t>Conjunto 2 tomadas 2P+T de 10 A, completo</t>
  </si>
  <si>
    <t>38.19.030</t>
  </si>
  <si>
    <t>Eletroduto de PVC corrugado flexível leve, diâmetro externo de 25 mm</t>
  </si>
  <si>
    <t>Cabo de cobre de 2,5 mm², isolamento 750 V ‐ isolação em PVC 70°C</t>
  </si>
  <si>
    <t>39.02.016</t>
  </si>
  <si>
    <t>40.07.010</t>
  </si>
  <si>
    <t>Demolição de paredes</t>
  </si>
  <si>
    <t>Pintura interna</t>
  </si>
  <si>
    <t>TOTAL</t>
  </si>
  <si>
    <t>33.12.011</t>
  </si>
  <si>
    <t>Esmalte à base de água em madeira, inclusive preparo</t>
  </si>
  <si>
    <t>Esmalte à base de água em estrutura metálica</t>
  </si>
  <si>
    <t>33.07.102</t>
  </si>
  <si>
    <t>Estrutura metálica da cobertura com telhas sanduíche</t>
  </si>
  <si>
    <t>TOTAL (m²)</t>
  </si>
  <si>
    <t>Área de alvenaria (m²)</t>
  </si>
  <si>
    <t>Serviço</t>
  </si>
  <si>
    <t>SERVIÇOS COMPLEMENTARES</t>
  </si>
  <si>
    <t>55.01.020</t>
  </si>
  <si>
    <t>Limpeza final da obra</t>
  </si>
  <si>
    <t>ESTRUTURA</t>
  </si>
  <si>
    <t>Forma em madeira comum para estrutura</t>
  </si>
  <si>
    <t>11.03.090</t>
  </si>
  <si>
    <t>Concreto preparado no local, fck = 20 MPa</t>
  </si>
  <si>
    <t>Armadura em barra de aço CA‐50 (A ou B) fyk = 500 MPa</t>
  </si>
  <si>
    <t>10.01.060</t>
  </si>
  <si>
    <t>Armadura em barra de aço CA‐60 (A ou B) fyk = 600 MPa</t>
  </si>
  <si>
    <t>Acrílica</t>
  </si>
  <si>
    <t>Pintura externa</t>
  </si>
  <si>
    <t>Massa corrida</t>
  </si>
  <si>
    <t>Broca em concreto armado diâmetro de 20 cm ‐ completa</t>
  </si>
  <si>
    <t>ITEM</t>
  </si>
  <si>
    <t>ETAPAS CONSTRUTIVAS</t>
  </si>
  <si>
    <t>TOTAL DO ITEM</t>
  </si>
  <si>
    <t>MÊS 01</t>
  </si>
  <si>
    <t>MÊS 02</t>
  </si>
  <si>
    <t>MÊS 03</t>
  </si>
  <si>
    <t>MÊS 04</t>
  </si>
  <si>
    <t>FORRO</t>
  </si>
  <si>
    <t>%</t>
  </si>
  <si>
    <t>% DO MÊS</t>
  </si>
  <si>
    <t>% ACUMULADA</t>
  </si>
  <si>
    <t>TOTAL DO MÊS</t>
  </si>
  <si>
    <t>TOTAL ACUMULADO</t>
  </si>
  <si>
    <t>CRONOGRAMA FÍSICO-FINANCEIRO</t>
  </si>
  <si>
    <t>PRAZO</t>
  </si>
  <si>
    <t>Preço total (R$)</t>
  </si>
  <si>
    <t>Lançamento e adensamento de concreto ou massa em estrutura</t>
  </si>
  <si>
    <t>11.16.060</t>
  </si>
  <si>
    <t>33.11.050</t>
  </si>
  <si>
    <t>Esmalte à base água em superfície metálica, inclusive preparo</t>
  </si>
  <si>
    <t>95469 (*)</t>
  </si>
  <si>
    <t>49.01.016</t>
  </si>
  <si>
    <t>Caixa sifonada de PVC rígido de 100 x 100 x 50 mm, com grelha</t>
  </si>
  <si>
    <t>94231 (*)</t>
  </si>
  <si>
    <t>Rufo em chapa de aço galvanizado número 24, corte de 25 cm, incluso transporte vertical. AF_07/2019</t>
  </si>
  <si>
    <t>44.20.110</t>
  </si>
  <si>
    <t>Ambiente</t>
  </si>
  <si>
    <t>Tomadas simples</t>
  </si>
  <si>
    <t>Tomadas duplas</t>
  </si>
  <si>
    <t>Baixas</t>
  </si>
  <si>
    <t>Médias</t>
  </si>
  <si>
    <t>Altas (AC)</t>
  </si>
  <si>
    <t>Luminárias</t>
  </si>
  <si>
    <t>WC Masculino</t>
  </si>
  <si>
    <t>WC Feminino</t>
  </si>
  <si>
    <t>Interruptores</t>
  </si>
  <si>
    <t>40.05.080</t>
  </si>
  <si>
    <t>Interruptor com 1 tecla paralelo e placa</t>
  </si>
  <si>
    <t>Paralelo 1</t>
  </si>
  <si>
    <t>Paralelo 2</t>
  </si>
  <si>
    <t>Trecho</t>
  </si>
  <si>
    <t>IL-01</t>
  </si>
  <si>
    <t>IL-02</t>
  </si>
  <si>
    <t>IL-03</t>
  </si>
  <si>
    <t>IL-04</t>
  </si>
  <si>
    <t>IL-05</t>
  </si>
  <si>
    <t>IL-06</t>
  </si>
  <si>
    <t>IL-07</t>
  </si>
  <si>
    <t>IL-08</t>
  </si>
  <si>
    <t>IL-09</t>
  </si>
  <si>
    <t>IL-10</t>
  </si>
  <si>
    <t>IL-11</t>
  </si>
  <si>
    <t>IL-12</t>
  </si>
  <si>
    <t>IL-13</t>
  </si>
  <si>
    <t>IL-14</t>
  </si>
  <si>
    <t>IL-15</t>
  </si>
  <si>
    <t>IL-16</t>
  </si>
  <si>
    <t>IL-17</t>
  </si>
  <si>
    <t>IL-18</t>
  </si>
  <si>
    <t>IL-19</t>
  </si>
  <si>
    <t>IL-20</t>
  </si>
  <si>
    <t>IL-21</t>
  </si>
  <si>
    <t>IL-22</t>
  </si>
  <si>
    <t>Quantidade de cabos</t>
  </si>
  <si>
    <t>Cabo 2,50 mm² (m)</t>
  </si>
  <si>
    <t>Eletroduto 25 mm (m)</t>
  </si>
  <si>
    <t>ILUMINAÇÃO</t>
  </si>
  <si>
    <t>TOMADAS</t>
  </si>
  <si>
    <t>T-01</t>
  </si>
  <si>
    <t>T-02</t>
  </si>
  <si>
    <t>T-03</t>
  </si>
  <si>
    <t>T-04</t>
  </si>
  <si>
    <t>T-05</t>
  </si>
  <si>
    <t>T-06</t>
  </si>
  <si>
    <t>T-07</t>
  </si>
  <si>
    <t>T-08</t>
  </si>
  <si>
    <t>T-09</t>
  </si>
  <si>
    <t>T-10</t>
  </si>
  <si>
    <t>T-11</t>
  </si>
  <si>
    <t>T-12</t>
  </si>
  <si>
    <t>T-13</t>
  </si>
  <si>
    <t>T-14</t>
  </si>
  <si>
    <t>T-15</t>
  </si>
  <si>
    <t>T-16</t>
  </si>
  <si>
    <t>T-17</t>
  </si>
  <si>
    <t>T-18</t>
  </si>
  <si>
    <t>T-19</t>
  </si>
  <si>
    <t>T-20</t>
  </si>
  <si>
    <t>T-21</t>
  </si>
  <si>
    <t>T-22</t>
  </si>
  <si>
    <t>T-23</t>
  </si>
  <si>
    <t>T-24</t>
  </si>
  <si>
    <t>T-25</t>
  </si>
  <si>
    <t>T-26</t>
  </si>
  <si>
    <t>T-27</t>
  </si>
  <si>
    <t>T-28</t>
  </si>
  <si>
    <t>T-29</t>
  </si>
  <si>
    <t>T-30</t>
  </si>
  <si>
    <t>T-31</t>
  </si>
  <si>
    <t>T-32</t>
  </si>
  <si>
    <t>T-33</t>
  </si>
  <si>
    <t>T-34</t>
  </si>
  <si>
    <t>T-35</t>
  </si>
  <si>
    <t>T-36</t>
  </si>
  <si>
    <t>T-37</t>
  </si>
  <si>
    <t>T-38</t>
  </si>
  <si>
    <t>Eletrocalha (m)</t>
  </si>
  <si>
    <t>Perfilado (m)</t>
  </si>
  <si>
    <t>TAC-1</t>
  </si>
  <si>
    <t>TAC-2</t>
  </si>
  <si>
    <t>TAC-3</t>
  </si>
  <si>
    <t>TAC-4</t>
  </si>
  <si>
    <t>TAC-5</t>
  </si>
  <si>
    <t>TAC-6</t>
  </si>
  <si>
    <t>TAC-7</t>
  </si>
  <si>
    <t>TAC-8</t>
  </si>
  <si>
    <t>16.05.012 (**)</t>
  </si>
  <si>
    <t>CA-11 Caixa de areia com grelha</t>
  </si>
  <si>
    <t>Parcelas de maior relevância ou de valor significativo:</t>
  </si>
  <si>
    <t>16.13.130</t>
  </si>
  <si>
    <t>Telhamento em chapa de aço com pintura poliéster, tipo sanduíche, espessura de 0,50 mm, com poliestireno expandido</t>
  </si>
  <si>
    <t>16.05.030 (**)</t>
  </si>
  <si>
    <t>CA-20 Canaleta de águas pluviais em concreto (15 cm)</t>
  </si>
  <si>
    <t>INSTALAÇÕES ELÉTRICAS</t>
  </si>
  <si>
    <t>25.01.070</t>
  </si>
  <si>
    <t>Caixilho em alumínio de correr com vidro, linha comercial</t>
  </si>
  <si>
    <t>23.09.600</t>
  </si>
  <si>
    <t>Porta lisa com batente metálico ‐ 60 x 180 cm</t>
  </si>
  <si>
    <t>18.08.032</t>
  </si>
  <si>
    <t>18.08.042</t>
  </si>
  <si>
    <t>Revestimento em porcelanato esmaltado antiderrapante para área externa e ambiente com alto tráfego, grupo de absorção BIa, assentado com argamassa colante industrializada, rejuntado</t>
  </si>
  <si>
    <t>Rodapé em porcelanato esmaltado antiderrapante para área externa e ambiente com alto tráfego, grupo de absorção BIa, assentado com argamassa colante industrializada, rejuntado</t>
  </si>
  <si>
    <t>Fundo Social</t>
  </si>
  <si>
    <t>Guarda Municipal</t>
  </si>
  <si>
    <t>Recepção / Sala de Espera / Circulação</t>
  </si>
  <si>
    <t>Sala Multiuso</t>
  </si>
  <si>
    <t>Copa/Cozinha</t>
  </si>
  <si>
    <t>W.C. Funcionários</t>
  </si>
  <si>
    <t>Sala Odontológica</t>
  </si>
  <si>
    <t>Sala Esterilização</t>
  </si>
  <si>
    <t>Sala Atendimento Médico</t>
  </si>
  <si>
    <t>Sala de Curativos</t>
  </si>
  <si>
    <t>Sala de Higienização</t>
  </si>
  <si>
    <t>Parede 1</t>
  </si>
  <si>
    <t>Parede 2</t>
  </si>
  <si>
    <t>Parede 3</t>
  </si>
  <si>
    <t>Parede 4</t>
  </si>
  <si>
    <t>Parede 5</t>
  </si>
  <si>
    <t>Parede 6</t>
  </si>
  <si>
    <t>05.07.040</t>
  </si>
  <si>
    <t>Remoção de entulho separado de obra com caçamba metálica ‐ terra, alvenaria, concreto, argamassa, madeira, papel, plástico ou metal</t>
  </si>
  <si>
    <t>Abrigo de veículos</t>
  </si>
  <si>
    <t>Área de serviço</t>
  </si>
  <si>
    <t>87273 (*)</t>
  </si>
  <si>
    <t>Revestimento cerâmico para paredes internas com placas tipo esmaltada extra de dimensões 33 x 45 cm aplicadas na altura inteira das paredes. AF 02_2023</t>
  </si>
  <si>
    <t>28.01.070</t>
  </si>
  <si>
    <t>Ferragem completa para porta de box de WC tipo livre/ocupado</t>
  </si>
  <si>
    <t>13.01.130</t>
  </si>
  <si>
    <t>44.06.300</t>
  </si>
  <si>
    <t>Cuba em aço inoxidável simples de 400x340x140mm</t>
  </si>
  <si>
    <t>Sifão plástico sanfonado universal de 1"</t>
  </si>
  <si>
    <t>Engate flexível de PVC DN= 1/2"</t>
  </si>
  <si>
    <t>44.03.370</t>
  </si>
  <si>
    <t>Torneira curta com rosca para uso geral, em latão fundido sem acabamento, DN= 1/2"</t>
  </si>
  <si>
    <t>Muro externo</t>
  </si>
  <si>
    <t>Parede entre banheiros masculino e feminino</t>
  </si>
  <si>
    <t>Fechamento WC Feminino / PNE</t>
  </si>
  <si>
    <t>Fechamento de vão Recepção / Guarda Municipal</t>
  </si>
  <si>
    <t>Trecho de parede na Recepção</t>
  </si>
  <si>
    <t>Fechamento de vão Cozinha / Sala Multiuso</t>
  </si>
  <si>
    <t>Fechamento de vão WC Funcionários / Sala Multiuso</t>
  </si>
  <si>
    <t>Parede entre Sala de Esterilização e Sala Odontológica</t>
  </si>
  <si>
    <t>Fechamento de vão Sala de Atendimento Médico / Abrigo de ambulância</t>
  </si>
  <si>
    <t>Parede externa da Sala de Curativos</t>
  </si>
  <si>
    <t>40.05.020</t>
  </si>
  <si>
    <t>Interruptor com 1 tecla simples e placa</t>
  </si>
  <si>
    <t>Caixa em PVC de 4" x 2"</t>
  </si>
  <si>
    <t>Mureta da fachada</t>
  </si>
  <si>
    <t>Recepção / Sala de Espera / Área de Circulação</t>
  </si>
  <si>
    <t>Copa / Cozinha</t>
  </si>
  <si>
    <t>WC Funcionários</t>
  </si>
  <si>
    <t>Sala de Esterilização</t>
  </si>
  <si>
    <t>Sala de Atendimento Médico</t>
  </si>
  <si>
    <t>Paredes externas</t>
  </si>
  <si>
    <t>Muro de divisa</t>
  </si>
  <si>
    <t>Mureta</t>
  </si>
  <si>
    <t>Massa corrida PVA</t>
  </si>
  <si>
    <t>Massa acrílica</t>
  </si>
  <si>
    <t>33.02.060</t>
  </si>
  <si>
    <t>Massa corrida à base de PVA</t>
  </si>
  <si>
    <t>Comprimentos dos perfis metálicos (m)</t>
  </si>
  <si>
    <t>Tramos</t>
  </si>
  <si>
    <t>Simples 1</t>
  </si>
  <si>
    <t>T-39</t>
  </si>
  <si>
    <t>T-40</t>
  </si>
  <si>
    <t>T-41</t>
  </si>
  <si>
    <t>T-42</t>
  </si>
  <si>
    <t>T-43</t>
  </si>
  <si>
    <t>T-44</t>
  </si>
  <si>
    <t>T-45</t>
  </si>
  <si>
    <t>T-46</t>
  </si>
  <si>
    <t>T-47</t>
  </si>
  <si>
    <t>T-48</t>
  </si>
  <si>
    <t>T-49</t>
  </si>
  <si>
    <t>T-50</t>
  </si>
  <si>
    <t>T-51</t>
  </si>
  <si>
    <t>T-52</t>
  </si>
  <si>
    <t>T-53</t>
  </si>
  <si>
    <t>T-54</t>
  </si>
  <si>
    <t>T-55</t>
  </si>
  <si>
    <t>T-56</t>
  </si>
  <si>
    <t>T-57</t>
  </si>
  <si>
    <t>T-58</t>
  </si>
  <si>
    <t>T-59</t>
  </si>
  <si>
    <t>T-60</t>
  </si>
  <si>
    <t>T-61</t>
  </si>
  <si>
    <t>T-62</t>
  </si>
  <si>
    <t>T-63</t>
  </si>
  <si>
    <t>T-64</t>
  </si>
  <si>
    <t>T-65</t>
  </si>
  <si>
    <t>T-66</t>
  </si>
  <si>
    <t>T-67</t>
  </si>
  <si>
    <t>16.08.028 (**)</t>
  </si>
  <si>
    <t>CI-01 Caixa de inspeção 60 cm x 60 cm para esgoto</t>
  </si>
  <si>
    <t>46.02.050</t>
  </si>
  <si>
    <t>Tubo de PVC rígido branco PxB com virola e anel de borracha, linha esgoto série normal, DN= 50 mm, inclusive conexões</t>
  </si>
  <si>
    <t>46.02.070</t>
  </si>
  <si>
    <t>Tubo de PVC rígido branco PxB com virola e anel de borracha, linha esgoto série normal, DN= 100 mm, inclusive conexões</t>
  </si>
  <si>
    <t>46.01.030</t>
  </si>
  <si>
    <t>46.01.050</t>
  </si>
  <si>
    <t>Tubo de PVC rígido soldável marrom, DN= 50 mm, (1 1/2´), inclusive conexões</t>
  </si>
  <si>
    <t>Tubo de PVC rígido soldável marrom, DN= 32 mm, (1"), inclusive conexões</t>
  </si>
  <si>
    <t>09.01.020</t>
  </si>
  <si>
    <t>Forma em madeira comum para fundação</t>
  </si>
  <si>
    <t>17.01.040</t>
  </si>
  <si>
    <t>Lastro de concreto impermeabilizado</t>
  </si>
  <si>
    <t>11.16.040</t>
  </si>
  <si>
    <t>Lançamento e adensamento de concreto ou massa em fundação</t>
  </si>
  <si>
    <t>BOLETIM CDHU 189 - ENCARGOS SOCIAIS DESONERADOS (LS = 97,78%) - DATA/BASE: FEVEREIRO/2023.</t>
  </si>
  <si>
    <t>1.1</t>
  </si>
  <si>
    <t>14.01.020</t>
  </si>
  <si>
    <t>Alvenaria de embasamento em tijolo maciço comum</t>
  </si>
  <si>
    <t>Alvenaria de embasamento (m³)</t>
  </si>
  <si>
    <t>Trecho de fechamento da porta de acesso principal</t>
  </si>
  <si>
    <t>Rua Doutor José Tieghi, 365, Vila Prete, Itatinga/SP</t>
  </si>
  <si>
    <t>OK</t>
  </si>
  <si>
    <t>Forro em lâmina de PVC</t>
  </si>
  <si>
    <t>16.32.120</t>
  </si>
  <si>
    <t>Cobertura plana em chapa de policarbonato alveolar de 10 mm</t>
  </si>
  <si>
    <t>22.03.070</t>
  </si>
  <si>
    <t>45.02.040</t>
  </si>
  <si>
    <t>Entrada completa de gás GLP com 2 cilindros de 45 kg</t>
  </si>
  <si>
    <t>16.32.070</t>
  </si>
  <si>
    <t>Cobertura curva em chapa de policarbonato alveolar bronze de 6 mm</t>
  </si>
  <si>
    <t>15.03.030</t>
  </si>
  <si>
    <t>Fornecimento e montagem de estrutura em aço ASTM‐A36, sem pintura</t>
  </si>
  <si>
    <t>16.12.020</t>
  </si>
  <si>
    <t>Telhamento em chapa de aço pré‐pintada com epóxi e poliéster, perfil ondulado, com espessura de 0,50 mm</t>
  </si>
  <si>
    <t>-</t>
  </si>
  <si>
    <t>Cozinha</t>
  </si>
  <si>
    <t>Lactário</t>
  </si>
  <si>
    <t>Sala de Professores</t>
  </si>
  <si>
    <t>Berçário 1</t>
  </si>
  <si>
    <t>Berçário 2</t>
  </si>
  <si>
    <t>Recepção</t>
  </si>
  <si>
    <t>Almoxarifado</t>
  </si>
  <si>
    <t>Área de Serviço</t>
  </si>
  <si>
    <t>DEMOLIÇÕES, RETIRADAS E REMOÇÕES</t>
  </si>
  <si>
    <t>03.04.020</t>
  </si>
  <si>
    <t>03.01.020</t>
  </si>
  <si>
    <t>04.40.070</t>
  </si>
  <si>
    <t>04.09.020</t>
  </si>
  <si>
    <t>04.08.060</t>
  </si>
  <si>
    <t>04.08.020</t>
  </si>
  <si>
    <t>04.09.100</t>
  </si>
  <si>
    <t>04.30.060</t>
  </si>
  <si>
    <t>04.11.020</t>
  </si>
  <si>
    <t>04.11.120</t>
  </si>
  <si>
    <t>Retirada de bacia sanitária</t>
  </si>
  <si>
    <t>unid</t>
  </si>
  <si>
    <t>Retirada de pia do lavatório</t>
  </si>
  <si>
    <t>Retirada de chuveiro</t>
  </si>
  <si>
    <t>Demolição de revestimento cerâmico</t>
  </si>
  <si>
    <t>Demolição de piso cerâmico</t>
  </si>
  <si>
    <t>Demolição manual de alvenaria para vão de porta, incluindo revestimento</t>
  </si>
  <si>
    <t>Porta de madeira, com batente e guarnições (80 cm x 210 cm)</t>
  </si>
  <si>
    <t>Bacia sanitária</t>
  </si>
  <si>
    <t>Canopla para válvula de descarga</t>
  </si>
  <si>
    <t>Botão para válvula de descarga</t>
  </si>
  <si>
    <t>Lavatório</t>
  </si>
  <si>
    <t>Sifão plástico</t>
  </si>
  <si>
    <t>Engate flexível de PVC</t>
  </si>
  <si>
    <t>Torneira de mesa</t>
  </si>
  <si>
    <t>Piso em porcelanato</t>
  </si>
  <si>
    <t>Revestimento cerâmico em porcelanato</t>
  </si>
  <si>
    <t>CONFERIR IN LOCO OUTROS ITENS</t>
  </si>
  <si>
    <t>Demolição manual de revestimento cerâmico, incluindo a base</t>
  </si>
  <si>
    <t>Demolição manual de concreto simples</t>
  </si>
  <si>
    <t>Retirada manual de paralelepípedo ou lajota de concreto, inclusive limpeza e empilhamento</t>
  </si>
  <si>
    <t>Retirada de esquadria metálica em geral</t>
  </si>
  <si>
    <t>Retirada de batente com guarnição e peças lineares em madeira, chumbados</t>
  </si>
  <si>
    <t>Retirada de folha de esquadria em madeira</t>
  </si>
  <si>
    <t>Retirada de guarda‐corpo ou gradil em geral</t>
  </si>
  <si>
    <t>Remoção de tubulação hidráulica em geral, incluindo conexões, caixas e ralos</t>
  </si>
  <si>
    <t>Retirada de torneira ou chuveiro</t>
  </si>
  <si>
    <t>Descrição do serviço</t>
  </si>
  <si>
    <t>Cálculo</t>
  </si>
  <si>
    <t>49.06.020</t>
  </si>
  <si>
    <t>24.03.040</t>
  </si>
  <si>
    <t>Ferragens das portas das cabines sanitárias do "Banheiro Feminino"</t>
  </si>
  <si>
    <t>Portas das cabines sanitárias do "Banheiro Feminino"</t>
  </si>
  <si>
    <t>23.09.040</t>
  </si>
  <si>
    <t>23.09.030</t>
  </si>
  <si>
    <t>25.02.050</t>
  </si>
  <si>
    <t>25.02.042</t>
  </si>
  <si>
    <t>Janela a ser instalada na escada de acesso entre os Blocos Superior e Inferior</t>
  </si>
  <si>
    <t>24.02.060</t>
  </si>
  <si>
    <t>Portinhola para fechamento do passa-prato da "Copa"</t>
  </si>
  <si>
    <t>24.02.590</t>
  </si>
  <si>
    <t>Portinhola para alçapão debaixo da escada</t>
  </si>
  <si>
    <t>Portinhola para alçapão da "Copa"</t>
  </si>
  <si>
    <t>Portinhola para alçapão do "Refeitório"</t>
  </si>
  <si>
    <t>25.02.070</t>
  </si>
  <si>
    <t>Forro de PVC no teto do "Almoxarifado" e "Área de Serviço"</t>
  </si>
  <si>
    <t>Fechamento vertical com forro de PVC para ocultar a viga metálica no lado do Refeitório</t>
  </si>
  <si>
    <t>Fechamento vertical com forro de PVC para ocultar a viga metálica no lado da escada</t>
  </si>
  <si>
    <t>Forro de PVC no teto da escada de acesso entre os Blocos Superior e Inferior</t>
  </si>
  <si>
    <t>Cobertura da escada de acesso entre os Blocos Superior e Inferior</t>
  </si>
  <si>
    <t>Estrutura para cobertura da escada de acesso entre os Blocos Superior e Inferior</t>
  </si>
  <si>
    <t>Elevação de parede para fechamento do corredor lateral, próximo à porta externa da "Cozinha"</t>
  </si>
  <si>
    <t>Elevação do muro da Rua Padre Pio Palácios de 2,10 m para 2,60 m</t>
  </si>
  <si>
    <t>Fechamento de vão após retirada de portão no muro da Rua Padre Pio Palácios</t>
  </si>
  <si>
    <t>Fechamento parcial do vão para a escada</t>
  </si>
  <si>
    <t>Fechamento em alvenaria da escada de acesso entre os Blocos Superior e Inferior</t>
  </si>
  <si>
    <t>Remoção de tubulação hidráulica de ambiente em que será implantada a nova "Sala de Professores"</t>
  </si>
  <si>
    <t>Retirada do guarda-corpo próximo à nova entrada de alunos</t>
  </si>
  <si>
    <t>Retirada da folha da porta do "Banheiro" ao lado da nova "Sala de Professores"</t>
  </si>
  <si>
    <t>Retirada da folha da porta do "Berçário 2".</t>
  </si>
  <si>
    <t>Retirada da folha da porta do "Berçário 1".</t>
  </si>
  <si>
    <t>Retirada de piso intertravado para construção do "Almoxarifado" e da "Área de Serviço".</t>
  </si>
  <si>
    <t>Demolição do piso de concreto no patamar existente próximo à nova entrada de alunos</t>
  </si>
  <si>
    <t>Demolição de rampa no corredor lateral direito</t>
  </si>
  <si>
    <t>Demolição de revestimento cerâmico nas paredes do "Banheiro" ao lado da "Sala dos Professores"</t>
  </si>
  <si>
    <t>Demolição de revestimento cerâmico nas paredes do "Refeitório" (Bloco Superior)</t>
  </si>
  <si>
    <t>Demolição manual de alvenaria para vão de porta do "Banheiro" ao lado da nova "Sala dos Professores"</t>
  </si>
  <si>
    <t>Abertura de muro na Rua Padre Pio Palácios, para colocação de portão da nova entrada de alunos</t>
  </si>
  <si>
    <t>Abertura de alvenaria para execução de alçapão na "Copa"</t>
  </si>
  <si>
    <t>Placa de obra</t>
  </si>
  <si>
    <t>Demolição manual de alvenaria para vão de porta do "Banheiro" ao lado do "Berçário 2"</t>
  </si>
  <si>
    <t>Porta veneziana de abrir em alumínio, linha comercial</t>
  </si>
  <si>
    <t>08.16.003 (**)</t>
  </si>
  <si>
    <t>Bacia sanitária infantil</t>
  </si>
  <si>
    <t>17.03.020</t>
  </si>
  <si>
    <t>Cimentado desempenado</t>
  </si>
  <si>
    <t>ALVENARIA</t>
  </si>
  <si>
    <t>ESQUADRIAS E VIDROS</t>
  </si>
  <si>
    <t>CORRIMÃO E GUARDA-CORPO</t>
  </si>
  <si>
    <t>Guarda‐corpo tubular com tela em aço galvanizado, diâmetro de 1 1/2"</t>
  </si>
  <si>
    <t>Corrimão tubular em aço galvanizado, diâmetro 1 1/2"</t>
  </si>
  <si>
    <t>25.01.060</t>
  </si>
  <si>
    <t>Caixilho em alumínio maxim‐ar, sob medida</t>
  </si>
  <si>
    <t>26.02.020</t>
  </si>
  <si>
    <t>Vidro temperado incolor de 6 mm</t>
  </si>
  <si>
    <t>Portinhola tipo veneziana em alumínio, linha comercial</t>
  </si>
  <si>
    <t>Banho Berçário 2</t>
  </si>
  <si>
    <t>Nova Sala de Aula</t>
  </si>
  <si>
    <t>Banheiro da nova Sala de Aula</t>
  </si>
  <si>
    <t>Portas a serem retiradas</t>
  </si>
  <si>
    <t>Portas novas</t>
  </si>
  <si>
    <t>Diretoria</t>
  </si>
  <si>
    <t>Banheiro Feminino</t>
  </si>
  <si>
    <t>Banheiro Masculino</t>
  </si>
  <si>
    <t>Antecâmara do Banheiro Masculino</t>
  </si>
  <si>
    <t>Tipo e material das novas portas</t>
  </si>
  <si>
    <t>Abrir madeira 80 cm</t>
  </si>
  <si>
    <t>Abrir alumínio veneziana 80 cm</t>
  </si>
  <si>
    <t>Abrir madeira 70 cm</t>
  </si>
  <si>
    <t>Correr alumínio lambri 80 cm</t>
  </si>
  <si>
    <t>Banheiro do Berçário 1</t>
  </si>
  <si>
    <t>Circulação - Superior / Inferior</t>
  </si>
  <si>
    <t>Portas retiradas</t>
  </si>
  <si>
    <t>Portas PM-70</t>
  </si>
  <si>
    <t>Portas PM-80</t>
  </si>
  <si>
    <t>Portas de correr alumínio lambri</t>
  </si>
  <si>
    <t>Porta de abrir alumínio veneziana</t>
  </si>
  <si>
    <t>Porta lisa com batente madeira ‐ 70 x 210 cm</t>
  </si>
  <si>
    <t>Porta lisa com batente madeira ‐ 80 x 210 cm</t>
  </si>
  <si>
    <t>Porta de correr em alumínio tipo lambri branco, sob medida</t>
  </si>
  <si>
    <t>Porta de enrolar manual, cega ou vazada</t>
  </si>
  <si>
    <t>PLACA DE IDENTIFICAÇÃO DA OBRA</t>
  </si>
  <si>
    <t>24.02.290</t>
  </si>
  <si>
    <t>Porta/portão de correr em chapa cega dupla, sob medida</t>
  </si>
  <si>
    <t>Porta/portão de abrir em chapa, sob medida</t>
  </si>
  <si>
    <t>04.03.040</t>
  </si>
  <si>
    <t>Retirada de telhamento perfil e material qualquer, exceto barro</t>
  </si>
  <si>
    <t>92259 (*)</t>
  </si>
  <si>
    <t>15.01.320</t>
  </si>
  <si>
    <t>Estrutura em terças para telhas perfil e material qualquer, exceto barro</t>
  </si>
  <si>
    <t>Instalação de tesoura (inteira ou meia), biapoiada, em madeira não aparelhada, para vãos maiores ou iguais a 3,0 m e menores que 6,0 m, incluso içamento. AF_07/2019</t>
  </si>
  <si>
    <t>44.01.310</t>
  </si>
  <si>
    <t>Tanque de louça com coluna de 30 litros</t>
  </si>
  <si>
    <t>Vaso sanitário sifonado convencional com louça branca - Fornecimento e instalação. AF 01_2020</t>
  </si>
  <si>
    <t>Válvula de descarga com registro próprio, DN= 1 1/2"</t>
  </si>
  <si>
    <t>Largura (m)</t>
  </si>
  <si>
    <t>Volume de concreto (m³)</t>
  </si>
  <si>
    <t>Área de forma (m²)</t>
  </si>
  <si>
    <t>Aço CA-50 (kg)</t>
  </si>
  <si>
    <t>Aço CA-60 (kg)</t>
  </si>
  <si>
    <t>Lastro de concreto (m³)</t>
  </si>
  <si>
    <t>Impermeabilização (m²)</t>
  </si>
  <si>
    <t>Viga baldrame - Almoxarifado / Área de Serviço</t>
  </si>
  <si>
    <t>Viga baldrame - Muro de arrimo</t>
  </si>
  <si>
    <t>Retirada de aparelho sanitário, incluindo acessórios</t>
  </si>
  <si>
    <t>06.12.020</t>
  </si>
  <si>
    <t>Aterro manual apiloado de área interna com maço de 30 kg</t>
  </si>
  <si>
    <t>Demolição manual de concreto armado</t>
  </si>
  <si>
    <t>03.01.040</t>
  </si>
  <si>
    <t>Pilar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</si>
  <si>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</si>
  <si>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</si>
  <si>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</si>
  <si>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</si>
  <si>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</si>
  <si>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</si>
  <si>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</si>
  <si>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</si>
  <si>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</si>
  <si>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</si>
  <si>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</si>
  <si>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</si>
  <si>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</si>
  <si>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</si>
  <si>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</si>
  <si>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</si>
  <si>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b1 (m)</t>
  </si>
  <si>
    <t>b2 (m)</t>
  </si>
  <si>
    <t>Área de forma (m³)</t>
  </si>
  <si>
    <t>PILARES</t>
  </si>
  <si>
    <t>VIGAS</t>
  </si>
  <si>
    <t>Comprimento total (m)</t>
  </si>
  <si>
    <t>MOVIMENTAÇÃO DE TERRA E FUNDAÇÃO</t>
  </si>
  <si>
    <t>28.20.590</t>
  </si>
  <si>
    <t>Contra fechadura de centro para porta em vidro temperado</t>
  </si>
  <si>
    <t>Elevação de alvenaria do "Almoxarifado" e da "Área de Serviço"</t>
  </si>
  <si>
    <t>Elevação de alvenaria da nova Sala de Aula</t>
  </si>
  <si>
    <t>Fechamento de vão no "Berçário 2"</t>
  </si>
  <si>
    <t>Fechamento de vão na parede entre a "Sala de Professores" e o banheiro adjacente</t>
  </si>
  <si>
    <t>Conferir Planilha "ESQUADRIAS"</t>
  </si>
  <si>
    <t>Ferragens das portas dos itens 23.09.030 e 23.09.040</t>
  </si>
  <si>
    <t>05 janelas "J1"</t>
  </si>
  <si>
    <t>01 porta "P7"</t>
  </si>
  <si>
    <t>Fechadura da porta "P7"</t>
  </si>
  <si>
    <t>Contra fechadura da porta "P7"</t>
  </si>
  <si>
    <t>Porta "P4" ("Almoxarifado")</t>
  </si>
  <si>
    <t>Área de vidro correspondente ao item 25.01.060</t>
  </si>
  <si>
    <t>Portão de acesso pela Rua Padre Pio Palácios</t>
  </si>
  <si>
    <t>Portão de acesso pela Rua Padre Pio Palácios (portão de correr "P03")</t>
  </si>
  <si>
    <t>Corrimão simples da escada de acesso entre os Blocos Superior e Inferior</t>
  </si>
  <si>
    <t>Corrimão duplo da rampa de acessibilidade adjacente ao "Almoxarifado" e à "Área de Serviço"</t>
  </si>
  <si>
    <t>Corrimão duplo da rampa de acessibilidade de acesso ao Playground</t>
  </si>
  <si>
    <t>Guarda-corpo delimitador do Playground</t>
  </si>
  <si>
    <t>Peitoris das janelas "J1"</t>
  </si>
  <si>
    <t>Peitoril da janela da escada de acesso entre os Blocos Superior e Inferior</t>
  </si>
  <si>
    <t>Soleira da porta "P7"</t>
  </si>
  <si>
    <t>Soleira da porta do "Almoxarifado"</t>
  </si>
  <si>
    <t>Soleira da porta da "Área de Serviço"</t>
  </si>
  <si>
    <t>Soleira da porta da nova Sala de Aula</t>
  </si>
  <si>
    <t>Soleira da porta do banheiro da nova Sala de Aula</t>
  </si>
  <si>
    <t>Soleira da porta do banheiro do "Berçário 2"</t>
  </si>
  <si>
    <t>TODOS OS ITENS - CONFORME PROJETO EM CAD</t>
  </si>
  <si>
    <t>Cf. Memória de Cálculo do item "ALVENARIA"</t>
  </si>
  <si>
    <t>Área de chapisco / reboco menos a área de revestimento cerâmico das paredes da "Área de Serviço"</t>
  </si>
  <si>
    <t>Revestimento das paredes da "Área de Serviço"</t>
  </si>
  <si>
    <t>Revestimento das paredes do banheiro da nova Sala de Aula</t>
  </si>
  <si>
    <t>Revestimento das paredes do banheiro do "Berçário 2"</t>
  </si>
  <si>
    <t>Cf. Planilha "FUNDAÇÃO"</t>
  </si>
  <si>
    <t>Cobertura do novo bloco de "Área de Serviço" e "Almoxarifado"</t>
  </si>
  <si>
    <t>Reposição da cobertura com telha tégula</t>
  </si>
  <si>
    <t>Cobertura em policarbonato (região dos fundos)</t>
  </si>
  <si>
    <t>Cobertura em policarbonato (região da frente)</t>
  </si>
  <si>
    <t>Massa de aço da estrutura de sustentação das telhas de aço</t>
  </si>
  <si>
    <t>Comprimento de rufo sobre o muro de divisa com a Rua Padre Pio Palácios e com o terreno adjacente</t>
  </si>
  <si>
    <t>Rufo sobre a cobertura da escada de acesso entre os Blocos Superior e Inferior</t>
  </si>
  <si>
    <t>Rufo sobre o novo bloco ("Área de Serviço" e "Almoxarifado")</t>
  </si>
  <si>
    <t>Calha da cobertura do novo bloco ("Área de Serviço" e "Almoxarifado")</t>
  </si>
  <si>
    <t>Calhas da cobertura em telhas tégula</t>
  </si>
  <si>
    <t>Conferir Planilha "ESTRUTURA"</t>
  </si>
  <si>
    <t>Laje para a nova Sala de Aula</t>
  </si>
  <si>
    <t>Volume de aterro para execução do novo patamar próximo à nova entrada</t>
  </si>
  <si>
    <t>Fundação do novo bloco ("Área de Serviço" e "Almoxarifado")</t>
  </si>
  <si>
    <t>Fundação da nova Sala de Aula</t>
  </si>
  <si>
    <t>Fundação da mureta do novo patamar</t>
  </si>
  <si>
    <t>Conferir Planilha "FUNDAÇÃO"</t>
  </si>
  <si>
    <t>44.03.315</t>
  </si>
  <si>
    <t>Torneira de mesa com bica móvel e alavanca</t>
  </si>
  <si>
    <t>Bancada do lavatório do banheiro do "Berçário 2"</t>
  </si>
  <si>
    <t>Bancada do lavatório do banheiro da nova Sala de Aula</t>
  </si>
  <si>
    <t>Balcão B1</t>
  </si>
  <si>
    <t>Balcão B3</t>
  </si>
  <si>
    <t>33.10.010</t>
  </si>
  <si>
    <t>Tinta látex antimofo em massa, inclusive preparo</t>
  </si>
  <si>
    <t>Bacia sanitária do banheiro da nova Sala de Aula</t>
  </si>
  <si>
    <t>Bacia sanitária do banheiro do "Berçário 2"</t>
  </si>
  <si>
    <t>08.16.003</t>
  </si>
  <si>
    <t>Bacias sanitárias do sanitário masculino - Bloco Inferior</t>
  </si>
  <si>
    <t>Bacias sanitárias do sanitário feminino - Bloco Inferior</t>
  </si>
  <si>
    <t>Cuba de embutir do lavatório do banheiro da nova Sala de Aula</t>
  </si>
  <si>
    <t>Cuba de embutir do lavatório do banheiro do "Berçário 2"</t>
  </si>
  <si>
    <t>44.06.410</t>
  </si>
  <si>
    <t>48.02.401</t>
  </si>
  <si>
    <t>Reservatório em polietileno com tampa de rosca ‐ capacidade de 500 litros</t>
  </si>
  <si>
    <t>48.05.010</t>
  </si>
  <si>
    <t>Torneira de boia, DN= 3/4"</t>
  </si>
  <si>
    <t>Cubas da pia da "Cozinha"</t>
  </si>
  <si>
    <t>Cubas das banheiras</t>
  </si>
  <si>
    <t>Torneiras das cubas</t>
  </si>
  <si>
    <t>Torneira da cuba de embutir do lavatório do banheiro da nova Sala de Aula</t>
  </si>
  <si>
    <t>Torneira da cuba de embutir do lavatório do banheiro do "Berçário 2"</t>
  </si>
  <si>
    <t>Torneiras externas</t>
  </si>
  <si>
    <t>Torneira do tanque da "Área de Serviço"</t>
  </si>
  <si>
    <t>Caixa sifonada da "Área de Serviço"</t>
  </si>
  <si>
    <t>Caixa sifonada do banheiro da nova Sala de Aula</t>
  </si>
  <si>
    <t>Caixa sifonada do banheiro do "Berçário 2"</t>
  </si>
  <si>
    <t>Registro da "Área de Serviço"</t>
  </si>
  <si>
    <t>Registro do banheiro da nova Sala de Aula</t>
  </si>
  <si>
    <t>Registro do banheiro do "Berçário 2"</t>
  </si>
  <si>
    <t>25.01.020</t>
  </si>
  <si>
    <t>Caixilho em alumínio fixo, sob medida</t>
  </si>
  <si>
    <t>Toldo em policarbonato (porta externa da "Cozinha")</t>
  </si>
  <si>
    <t>Caixilho fixo na "Sala dos Professores"</t>
  </si>
  <si>
    <t>Caixilho maxim-air da "Sala dos Professores"</t>
  </si>
  <si>
    <t>Pia da "Sala dos Professores"</t>
  </si>
  <si>
    <t>Cubas da pia da "Sala dos Professores"</t>
  </si>
  <si>
    <t>Registro da "Sala dos Professores"</t>
  </si>
  <si>
    <t>Grelha em ferro fundido para caixas e canaletas</t>
  </si>
  <si>
    <t>Volume de aterro para execução da "Área de Serviço"</t>
  </si>
  <si>
    <t>Demolição manual de alvenaria para construção da nova Sala de Aula</t>
  </si>
  <si>
    <t>Demolição de laje para construção da nova Sala de Aula</t>
  </si>
  <si>
    <t>Demolição de vigas e pilares para construção da nova Sala de Aula</t>
  </si>
  <si>
    <t>Demolição manual de alvenaria para implantação do banheiro do "Berçário 2"</t>
  </si>
  <si>
    <t>Retirada de batente e guarnições das portas de 70 cm</t>
  </si>
  <si>
    <t>Retirada de batente e guarnições das portas de 80 cm</t>
  </si>
  <si>
    <t>Demolição de revestimento cerâmico nas paredes do banheiro do "Berçário 2"</t>
  </si>
  <si>
    <t>Demolição do piso cerâmico do "Banheiro" ao lado da "Sala dos Professores"</t>
  </si>
  <si>
    <t>Demolição do piso cerâmico do banheiro do "Berçário 2"</t>
  </si>
  <si>
    <t>Retirada de portão antigo voltado para a Rua Padre Pio Palácios</t>
  </si>
  <si>
    <t>Retirada de janela da nova "Sala de Professores"</t>
  </si>
  <si>
    <t>55.01.030</t>
  </si>
  <si>
    <t>Limpeza complementar com hidrojateamento</t>
  </si>
  <si>
    <t>COMPOSIÇÃO ANALÍTICA DO BDI CONFORME ACÓRDÃO 2622/2013 - TCU PLENÁRIO</t>
  </si>
  <si>
    <t>OBJETO</t>
  </si>
  <si>
    <t>LOCAL</t>
  </si>
  <si>
    <t>DESCRIÇÃO</t>
  </si>
  <si>
    <t>ÍNDICE ADOTADO (%)</t>
  </si>
  <si>
    <t>Administração Central (AC)</t>
  </si>
  <si>
    <t>Lucro (L)</t>
  </si>
  <si>
    <t>Despesas Financeiras (DF)</t>
  </si>
  <si>
    <t>Seguros e Garantias (S + G)</t>
  </si>
  <si>
    <t xml:space="preserve">Riscos (R) </t>
  </si>
  <si>
    <t>IMPOSTOS</t>
  </si>
  <si>
    <t>6.1</t>
  </si>
  <si>
    <t>ISS</t>
  </si>
  <si>
    <t>6.2</t>
  </si>
  <si>
    <t>INSS</t>
  </si>
  <si>
    <t>BDI (COM DESONERAÇÃO)</t>
  </si>
  <si>
    <t>O BDI acima foi calculado por meio da fórmula prevista no Acórdão 2622/2013 - TCU - Plenário:</t>
  </si>
  <si>
    <t>Retirada de bacias sanitárias do "Sanitário Masculino" (Bloco Inferior) para substituição por bacias sanitárias infantis</t>
  </si>
  <si>
    <t>Retirada de bacias sanitárias do "Sanitário Feminino" (Bloco Inferior) para substituição por bacias sanitárias infantis</t>
  </si>
  <si>
    <t>Retirada de bacia sanitária e lavatório de banheiro da nova Sala de Aula</t>
  </si>
  <si>
    <t>Retirada de tanque de ambiente em que será implantado banheiro do "Berçário 2"</t>
  </si>
  <si>
    <t>Demolição de rampa na região frontal</t>
  </si>
  <si>
    <t>07.02.020</t>
  </si>
  <si>
    <t>Escavação mecanizada de valas ou cavas com profundidade de até 2 m</t>
  </si>
  <si>
    <t>Volume de terra estimado a ser removido após a demolição da rampa na região frontal do terreno</t>
  </si>
  <si>
    <t>Impermeabilização de parede após demolição da rampa na região frontal</t>
  </si>
  <si>
    <t>03.03.040</t>
  </si>
  <si>
    <t>Demolição manual de revestimento em massa de parede ou teto</t>
  </si>
  <si>
    <t>Demolição do revestimento da parede adjacente à rampa a ser demolida</t>
  </si>
  <si>
    <t>Área de revestimento da parede adjacente à rampa a ser demolida</t>
  </si>
  <si>
    <t>Área da laje da nova Sala de Aula</t>
  </si>
  <si>
    <t>Área da laje do "Almoxarifado"</t>
  </si>
  <si>
    <t>Área da laje da "Área de Serviço"</t>
  </si>
  <si>
    <t>Igual ao item 17.02.020</t>
  </si>
  <si>
    <t>34.02.040</t>
  </si>
  <si>
    <t>Plantio de grama batatais em placas (jardins e canteiros)</t>
  </si>
  <si>
    <t>Mureta a ser construída na região frontal do terreno</t>
  </si>
  <si>
    <t>Alvenaria do muro de arrimo</t>
  </si>
  <si>
    <t>14.28.030</t>
  </si>
  <si>
    <t>Elemento vazado em concreto, tipo quadriculado de 39 x 39 x 10 cm</t>
  </si>
  <si>
    <t>Elemento vazado a ser instalado no "Banheiro dos Funcionários"</t>
  </si>
  <si>
    <t>Balcão B2</t>
  </si>
  <si>
    <t>26.02.060</t>
  </si>
  <si>
    <t>Vidro temperado incolor de 10 mm</t>
  </si>
  <si>
    <t>Vidro temperado do box do banheiro da nova Sala de Aula</t>
  </si>
  <si>
    <t>01 janela "J7"</t>
  </si>
  <si>
    <t>Bacia sanitária do "Banheiro Masculino"</t>
  </si>
  <si>
    <t>Bacias sanitárias do "Banheiro Feminino"</t>
  </si>
  <si>
    <r>
      <t xml:space="preserve">Válvulas das descargas das bacias sanitárias do item </t>
    </r>
    <r>
      <rPr>
        <b/>
        <sz val="10"/>
        <rFont val="Arial"/>
        <family val="2"/>
      </rPr>
      <t>95469</t>
    </r>
  </si>
  <si>
    <t>44.01.110</t>
  </si>
  <si>
    <t>Lavatório de louça com coluna</t>
  </si>
  <si>
    <t>Mictório de louça sifonado auto aspirante</t>
  </si>
  <si>
    <t>44.01.200</t>
  </si>
  <si>
    <t>Lavatório a ser instalado na "Antecâmara do Banheiro Masculino"</t>
  </si>
  <si>
    <t>Mictório a ser instalado no "Banheiro Masculino"</t>
  </si>
  <si>
    <t>Cubas da pia do "Lactário"</t>
  </si>
  <si>
    <t>Torneira do lavatório a ser instalado na "Antecâmara do Banheiro Masculino"</t>
  </si>
  <si>
    <t>Bancada da pia do "Lactário"</t>
  </si>
  <si>
    <t>Caixa sifonada da "Cozinha" (Bloco Inferior)</t>
  </si>
  <si>
    <t>Caixa sifonada do "Refeitório" (Bloco Inferior)</t>
  </si>
  <si>
    <t>Caixa sifonada do "Banheiro Feminino" (Bloco Superior)</t>
  </si>
  <si>
    <t>Caixa sifonada do "Banheiro Masculino" (Bloco Superior)</t>
  </si>
  <si>
    <t>Caixa sifonada da "Cozinha" (Bloco Superior)</t>
  </si>
  <si>
    <t>44.20.390</t>
  </si>
  <si>
    <t>44.20.620</t>
  </si>
  <si>
    <t>Válvula de PVC para lavatório</t>
  </si>
  <si>
    <t>Válvula americana</t>
  </si>
  <si>
    <t>PREFEITURA MUNICIPAL DE ITATINGA</t>
  </si>
  <si>
    <t>- ESTADO DE SÃO PAULO -</t>
  </si>
  <si>
    <t>Rua Nove de Julho nº 304 – Centro – CEP. 18690-000</t>
  </si>
  <si>
    <t>E-mail: engenharia@pmitatinga.sp.gov.br</t>
  </si>
  <si>
    <t>Site: www.pmitatinga.sp.gov.br</t>
  </si>
  <si>
    <t xml:space="preserve">MÃO DE OBRA </t>
  </si>
  <si>
    <t>CÓDIGO</t>
  </si>
  <si>
    <t>FONTE</t>
  </si>
  <si>
    <t>INSUMO</t>
  </si>
  <si>
    <t>UNIDADE</t>
  </si>
  <si>
    <t>QUANTIDADE</t>
  </si>
  <si>
    <t>PREÇO UNITÁRIO (R$)</t>
  </si>
  <si>
    <t>PREÇO TOTAL (R$)</t>
  </si>
  <si>
    <t>h</t>
  </si>
  <si>
    <t xml:space="preserve">TOTAL MÃO DE OBRA </t>
  </si>
  <si>
    <t xml:space="preserve">MATERIAL </t>
  </si>
  <si>
    <t xml:space="preserve">TOTAL MATERIAL </t>
  </si>
  <si>
    <t>M.O - R$</t>
  </si>
  <si>
    <t>TOTAL MÃO DE OBRA</t>
  </si>
  <si>
    <t>TOTAL MATERIAL</t>
  </si>
  <si>
    <t>____________________________________</t>
  </si>
  <si>
    <t>ADRIANO DE OLIVEIRA E SILVA</t>
  </si>
  <si>
    <t>Engenheiro Civil - CREA/SP 5069635272</t>
  </si>
  <si>
    <r>
      <rPr>
        <b/>
        <sz val="12"/>
        <color theme="1"/>
        <rFont val="Times New Roman"/>
        <family val="1"/>
      </rPr>
      <t>Local:</t>
    </r>
    <r>
      <rPr>
        <sz val="12"/>
        <color theme="1"/>
        <rFont val="Times New Roman"/>
        <family val="1"/>
      </rPr>
      <t xml:space="preserve"> Rua Doutor José Tieghi, 365, Vila Prete, Itatinga/SP</t>
    </r>
  </si>
  <si>
    <t>COMPOSIÇÃO (***)</t>
  </si>
  <si>
    <t>2.1</t>
  </si>
  <si>
    <t>4.1</t>
  </si>
  <si>
    <t>3.1</t>
  </si>
  <si>
    <t>9.5</t>
  </si>
  <si>
    <t>8.1</t>
  </si>
  <si>
    <t>9.3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</si>
  <si>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</si>
  <si>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</si>
  <si>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</si>
  <si>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</si>
  <si>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</si>
  <si>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</si>
  <si>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</si>
  <si>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</si>
  <si>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</si>
  <si>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</si>
  <si>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</si>
  <si>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</si>
  <si>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</si>
  <si>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</si>
  <si>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</si>
  <si>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3.2</t>
  </si>
  <si>
    <t>3.3</t>
  </si>
  <si>
    <t>3.4</t>
  </si>
  <si>
    <t>3.5</t>
  </si>
  <si>
    <t>3.6</t>
  </si>
  <si>
    <t>3.7</t>
  </si>
  <si>
    <t>3.8</t>
  </si>
  <si>
    <t>3.9</t>
  </si>
  <si>
    <t>4.2</t>
  </si>
  <si>
    <t>4.3</t>
  </si>
  <si>
    <t>4.4</t>
  </si>
  <si>
    <t>4.5</t>
  </si>
  <si>
    <t>4.6</t>
  </si>
  <si>
    <t>5.1</t>
  </si>
  <si>
    <t>5.2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</si>
  <si>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</si>
  <si>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</si>
  <si>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</si>
  <si>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</si>
  <si>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</si>
  <si>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</si>
  <si>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</si>
  <si>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</si>
  <si>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</si>
  <si>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</si>
  <si>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</si>
  <si>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</si>
  <si>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</si>
  <si>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</si>
  <si>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</si>
  <si>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</si>
  <si>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7.1</t>
  </si>
  <si>
    <t>7.2</t>
  </si>
  <si>
    <t>8.2</t>
  </si>
  <si>
    <t>9.1</t>
  </si>
  <si>
    <t>9.2</t>
  </si>
  <si>
    <t>9.4</t>
  </si>
  <si>
    <t>9.6</t>
  </si>
  <si>
    <t>10.1</t>
  </si>
  <si>
    <t>10.2</t>
  </si>
  <si>
    <t>10.3</t>
  </si>
  <si>
    <t>10.4</t>
  </si>
  <si>
    <t>Impermeabilização de muro no contato de aterro para construção do "Almoxarifado" e da "Área de Serviço"</t>
  </si>
  <si>
    <t>11.1</t>
  </si>
  <si>
    <t>12.1</t>
  </si>
  <si>
    <t>13.1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</si>
  <si>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</si>
  <si>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</si>
  <si>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</si>
  <si>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</si>
  <si>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</si>
  <si>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</si>
  <si>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</si>
  <si>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</si>
  <si>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</si>
  <si>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</si>
  <si>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</si>
  <si>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</si>
  <si>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</si>
  <si>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</si>
  <si>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16.1</t>
  </si>
  <si>
    <t>16.2</t>
  </si>
  <si>
    <t>16.3</t>
  </si>
  <si>
    <t>16.4</t>
  </si>
  <si>
    <t>16.5</t>
  </si>
  <si>
    <t>16.6</t>
  </si>
  <si>
    <t>16.7</t>
  </si>
  <si>
    <t>17.1</t>
  </si>
  <si>
    <t>17.2</t>
  </si>
  <si>
    <t>17.3</t>
  </si>
  <si>
    <t>17.4</t>
  </si>
  <si>
    <t>49.04.010</t>
  </si>
  <si>
    <t>Ralo seco em PVC rígido de 100 x 40 mm, com grelha</t>
  </si>
  <si>
    <t>Ralo seco do chuveiro do banheiro da nova Sala de Aula</t>
  </si>
  <si>
    <t>(**) FDE - LS: 120,87% - DATA/BASE: ABRIL/2023</t>
  </si>
  <si>
    <t>Ralo seco do "Almoxarifado"</t>
  </si>
  <si>
    <t>Reforma e ampliação do CEI Dona Virgínia Bagata</t>
  </si>
  <si>
    <r>
      <rPr>
        <b/>
        <sz val="12"/>
        <rFont val="Times New Roman"/>
        <family val="1"/>
      </rPr>
      <t>Obra:</t>
    </r>
    <r>
      <rPr>
        <sz val="12"/>
        <rFont val="Times New Roman"/>
        <family val="1"/>
      </rPr>
      <t xml:space="preserve"> Reforma e ampliação do CEI Dona Virgínia Bagata</t>
    </r>
  </si>
  <si>
    <t>Retirada de estrutura em madeira pontaletada ‐ telhas perfil qualquer</t>
  </si>
  <si>
    <t>04.02.110</t>
  </si>
  <si>
    <t>3.10</t>
  </si>
  <si>
    <t>(*) SINAPI 04/2023 - ENCARGOS SOCIAIS DESONERADOS: 85,56% (HORA); 47,57% (MÊS).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</si>
  <si>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</si>
  <si>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</si>
  <si>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</si>
  <si>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</si>
  <si>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</si>
  <si>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</si>
  <si>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</si>
  <si>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</si>
  <si>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</si>
  <si>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</si>
  <si>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</si>
  <si>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</si>
  <si>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</si>
  <si>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</si>
  <si>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</si>
  <si>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</si>
  <si>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</si>
  <si>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</si>
  <si>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</si>
  <si>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14.20</t>
  </si>
  <si>
    <t>14.21</t>
  </si>
  <si>
    <t>14.22</t>
  </si>
  <si>
    <t>14.23</t>
  </si>
  <si>
    <t>14.24</t>
  </si>
  <si>
    <t>14.25</t>
  </si>
  <si>
    <t>14.26</t>
  </si>
  <si>
    <t>14.27</t>
  </si>
  <si>
    <t>14.28</t>
  </si>
  <si>
    <t>14.29</t>
  </si>
  <si>
    <t>14.30</t>
  </si>
  <si>
    <t>43.02.080</t>
  </si>
  <si>
    <t>Chuveiro elétrico de 6.500W / 220V com resistência blindada</t>
  </si>
  <si>
    <t>92005 (*)</t>
  </si>
  <si>
    <t>Tomada média de embutir (2 módulos), 2P+T 20 A, incluindo suporte e placa - Fornecimento e instalação. AF_03/2023</t>
  </si>
  <si>
    <t>39.02.010</t>
  </si>
  <si>
    <t>39.02.020</t>
  </si>
  <si>
    <t>39.02.030</t>
  </si>
  <si>
    <t>Cabo de cobre de 6 mm², isolamento 750 V ‐ isolação em PVC 70°C</t>
  </si>
  <si>
    <t>Cabo de cobre de 4 mm², isolamento 750 V ‐ isolação em PVC 70°C</t>
  </si>
  <si>
    <t>Cabo de cobre de 1,5 mm², isolamento 750 V ‐ isolação em PVC 70°C</t>
  </si>
  <si>
    <t>38.19.040</t>
  </si>
  <si>
    <t>Eletroduto de PVC corrugado flexível leve, diâmetro externo de 32 mm</t>
  </si>
  <si>
    <t>101881 (*)</t>
  </si>
  <si>
    <t>Quadro de distribuição de energia em chapa de aço galvanizado, de embutir, com barramento trifásico, para 40 disjuntores DIN 100 A - Fornecimento e instalação. AF_10/2020</t>
  </si>
  <si>
    <t>37.17.090</t>
  </si>
  <si>
    <t>Dispositivo diferencial residual de 63 A x 30 mA ‐ 4 polos</t>
  </si>
  <si>
    <t>39.04.040</t>
  </si>
  <si>
    <t>Cabo de cobre nu, têmpera mole, classe 2, de 10 mm²</t>
  </si>
  <si>
    <t>92981 (*)</t>
  </si>
  <si>
    <t>Cabo de cobre flexível isolado, 16 mm², anti-chama 450/750 V, para distribuição - Fornecimento e instalação. AF_03/2023</t>
  </si>
  <si>
    <t>Cabo de cobre flexível isolado, 25 mm², anti-chama 0,6/1,0 kV, para rede enterrada de distribuição de energia elétrica - Fornecimento e instalação. AF_12_2021</t>
  </si>
  <si>
    <t>92984 (*)</t>
  </si>
  <si>
    <t>93654 (*)</t>
  </si>
  <si>
    <t>Disjuntor monopolar tipo DIN, corrente nominal de 16 A - Fornecimento e instalação. AF_10/2020</t>
  </si>
  <si>
    <t>93655 (*)</t>
  </si>
  <si>
    <t>93656 (*)</t>
  </si>
  <si>
    <t>Disjuntor monopolar tipo DIN, corrente nominal de 20 A - Fornecimento e instalação. AF_10/2020</t>
  </si>
  <si>
    <t>Disjuntor monopolar tipo DIN, corrente nominal de 25 A - Fornecimento e instalação. AF_10/2020</t>
  </si>
  <si>
    <t>93664 (*)</t>
  </si>
  <si>
    <t>Disjuntor bipolar tipo DIN, corrente nominal de 32 A - Fornecimento e instalação. AF_10/2020</t>
  </si>
  <si>
    <t>37.13.860</t>
  </si>
  <si>
    <t>Mini‐disjuntor termomagnético, bipolar 220/380 V, corrente de 63 A</t>
  </si>
  <si>
    <t>37.13.900</t>
  </si>
  <si>
    <t>Mini‐disjuntor termomagnético, tripolar 220/380 V, corrente de 63 A</t>
  </si>
  <si>
    <t>42.05.200</t>
  </si>
  <si>
    <t>Haste de aterramento de 5/8" x 2,4 m</t>
  </si>
  <si>
    <t>42.05.160</t>
  </si>
  <si>
    <t>Conector olhal cabo/haste de 5/8"</t>
  </si>
  <si>
    <t>SINAPI</t>
  </si>
  <si>
    <t>Auxiliar de Eletricista (horista)</t>
  </si>
  <si>
    <t>Espelho / placa cega 4" x 2", para instalação de tomadas e interruptores</t>
  </si>
  <si>
    <t>E.S 85,56 % (SINAPI 04/2023 - DESONERADO)</t>
  </si>
  <si>
    <t>Itatinga, 07 de junho de 2023.</t>
  </si>
  <si>
    <t>Espelho / placa cega 4" x 2"</t>
  </si>
  <si>
    <t>2.17</t>
  </si>
  <si>
    <t>04.21.130</t>
  </si>
  <si>
    <t>Remoção de poste de concreto</t>
  </si>
  <si>
    <t>09.02.043 (**)</t>
  </si>
  <si>
    <t>DPS - Dispositivo de proteção contra surtos (energia)</t>
  </si>
  <si>
    <t>Quadro de distribuição, disjuntor geral 80A p/ 22 a 26 disjuntores</t>
  </si>
  <si>
    <t>09.05.051 (**)</t>
  </si>
  <si>
    <t>Laje pré‐fabricada mista vigota treliçada/lajota cerâmica ‐ LT 12 (8+4) e capa com concreto de 25 MPa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</si>
  <si>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</si>
  <si>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</si>
  <si>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</si>
  <si>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</si>
  <si>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</si>
  <si>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</si>
  <si>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</si>
  <si>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</si>
  <si>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</si>
  <si>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</si>
  <si>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</si>
  <si>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</si>
  <si>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</si>
  <si>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</si>
  <si>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</si>
  <si>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</si>
  <si>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</si>
  <si>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</si>
  <si>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</si>
  <si>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15.20</t>
  </si>
  <si>
    <t>15.21</t>
  </si>
  <si>
    <t>15.22</t>
  </si>
  <si>
    <t>15.23</t>
  </si>
  <si>
    <t>15.24</t>
  </si>
  <si>
    <t>15.25</t>
  </si>
  <si>
    <t>15.26</t>
  </si>
  <si>
    <t>15.27</t>
  </si>
  <si>
    <t>15.28</t>
  </si>
  <si>
    <t>CDHU 189 (DESONERADO); SINAPI 04/2023 (DESONERADO); FDE 04/2023</t>
  </si>
  <si>
    <r>
      <t xml:space="preserve">COMPOSIÇÃO DE CUSTO UNITÁRIO DO ITEM </t>
    </r>
    <r>
      <rPr>
        <b/>
        <sz val="12"/>
        <rFont val="Times New Roman"/>
        <family val="1"/>
      </rPr>
      <t>15.17</t>
    </r>
  </si>
  <si>
    <t>TOTAL ITEM 15.17</t>
  </si>
  <si>
    <t xml:space="preserve">AE-20 Abrigo e entrada de energia (caixas III ou V): BANDEIRANTE/CPFL/ELEKTRO </t>
  </si>
  <si>
    <t>09.02.060 (**)</t>
  </si>
  <si>
    <t>41.02.551</t>
  </si>
  <si>
    <t>Lâmpada LED tubular T8 com base G13, de 1850 até 2000 Im ‐ 18 a 20 W</t>
  </si>
  <si>
    <t>Luminária retangular de sobrepor tipo calha aberta, para 2 lâmpadas fluorescentes tubulares de 32 W</t>
  </si>
  <si>
    <t>41.14.070</t>
  </si>
  <si>
    <t>41.02.580</t>
  </si>
  <si>
    <t>Lâmpada LED 13,5W, com base E‐27, 1400 até 1510 lm</t>
  </si>
  <si>
    <t>15.29</t>
  </si>
  <si>
    <t>15.30</t>
  </si>
  <si>
    <t>15.31</t>
  </si>
  <si>
    <t>15.32</t>
  </si>
  <si>
    <t>15.33</t>
  </si>
  <si>
    <t>41.20.080</t>
  </si>
  <si>
    <t>Plafon plástico e/ou PVC para acabamento de ponto de luz, com soquete E‐27 para lâmpada fluorescente compacta</t>
  </si>
  <si>
    <t>LISTA DE MATERIAIS - CEI Virgini Bagata - 31/05/2023</t>
  </si>
  <si>
    <t>Quant.</t>
  </si>
  <si>
    <t>Unid.</t>
  </si>
  <si>
    <t>pçs</t>
  </si>
  <si>
    <t>Chuveiro 220 V 6500 W eletrônico</t>
  </si>
  <si>
    <t>Tomada dupla 10 A branca 2P+T 4 x 2</t>
  </si>
  <si>
    <t>Tomada dupla 20 A branca 2P+T 4 x 2</t>
  </si>
  <si>
    <t>Controle de ventilador 127 V</t>
  </si>
  <si>
    <t>Espelho cego com furo central 4 x 2</t>
  </si>
  <si>
    <t>Espelho cego 4 x 2</t>
  </si>
  <si>
    <t>Plafon plafonier de PVC lustre bocal soquete E 27</t>
  </si>
  <si>
    <t>Lâmpadas de led de 15 W</t>
  </si>
  <si>
    <t>Calha para 2 lâmpadas led de 18 W - tipo tubular</t>
  </si>
  <si>
    <t>Lâmpada tubular led de 18 W</t>
  </si>
  <si>
    <t>Interruptor 1 tecla simples 4 x 2</t>
  </si>
  <si>
    <t>Interruptor 1 tecla paralela 4 x 2</t>
  </si>
  <si>
    <t>caixas 4 x 2 de PVC</t>
  </si>
  <si>
    <t>Haste para aterramento cobreada 5/8" x 2,40 metros</t>
  </si>
  <si>
    <t>Grampo para haste de aterramento de 5/8"</t>
  </si>
  <si>
    <t>pç</t>
  </si>
  <si>
    <t>Caixa de disjuntores de PVC de embutir para no mínimo
 30 disjuntores tipo DIN, com barramento trifásico para 100 A
com barra de neutro e barra de terra</t>
  </si>
  <si>
    <t>Disjuntor trifásico DDR 63 A</t>
  </si>
  <si>
    <t>Disjuntor trifásico DIN 63 A</t>
  </si>
  <si>
    <t>Disjuntor bifásico DIN 63 A</t>
  </si>
  <si>
    <t>Disjuntor bifásico DIN 32 A</t>
  </si>
  <si>
    <t>Disjuntor monofásico DIN 25 A</t>
  </si>
  <si>
    <t>Disjuntor monofásico DIN 20 A</t>
  </si>
  <si>
    <t>Disjuntor monofásico DIN 16 A</t>
  </si>
  <si>
    <t>conduite 3/4"</t>
  </si>
  <si>
    <t>conduite 1"</t>
  </si>
  <si>
    <t>Cabo de cobre de PVC 750 V 16 mm2 preto</t>
  </si>
  <si>
    <t>Cabo de cobre de PVC 750 V 16 mm2 azul</t>
  </si>
  <si>
    <t>Cabo de cobre de PVC 750 V 16 mm2 verde</t>
  </si>
  <si>
    <t xml:space="preserve">Cabo de cobre nú 750 V 10 mm2 </t>
  </si>
  <si>
    <t>Cabo de cobre de PVC 750 V 25 mm2 preto</t>
  </si>
  <si>
    <t>Cabo de cobre de PVC 750 V 25 mm2 azul</t>
  </si>
  <si>
    <t>Cabo de cobre de PVC 750 V 6 mm2 vermelho</t>
  </si>
  <si>
    <t>Cabo de cobre de PVC 750 V 6 mm2 verde</t>
  </si>
  <si>
    <t>Cabo de cobre de PVC 750 V 4 mm2 vermelho</t>
  </si>
  <si>
    <t>Cabo de cobre de PVC 750 V 4 mm2 preto</t>
  </si>
  <si>
    <t>Cabo de cobre de PVC 750 V 4 mm2 verde</t>
  </si>
  <si>
    <t>Cabo de cobre de PVC 750 V 2,5 mm2 vermelho</t>
  </si>
  <si>
    <t>Cabo de cobre de PVC 750 V 2,5 mm2 preto</t>
  </si>
  <si>
    <t>Cabo de cobre de PVC 750 V 2,5 mm2 verde</t>
  </si>
  <si>
    <t>Cabo de cobre de PVC 750 V 1,5 mm2 vermelho</t>
  </si>
  <si>
    <t>Cabo de cobre de PVC 750 V 1,5 mm2 preto</t>
  </si>
  <si>
    <t>Cabo de cobre de PVC 750 V 1,5 mm2 amarelo</t>
  </si>
  <si>
    <t>Cabo de cobre de PVC 750 V 1,5 mm2 branco</t>
  </si>
  <si>
    <t>Poste padrão CPFL, com medição e proteção integrados
ao poste, padrão C2, cabo de entrada 25 mm2, 
disjuntor de proteção 80 A e DPS</t>
  </si>
  <si>
    <t>Caixa para montagem dos disjuntores ao lado do poste de
entrada, conforme detalhe 2 do projeto, de PVC medindo
30 x 30 x 15 cm, peparada para ser instalado ao tempo
com vedação de borracha na porta</t>
  </si>
  <si>
    <t>07.80.026 (**)</t>
  </si>
  <si>
    <t>Telha de concreto cor cinza</t>
  </si>
  <si>
    <t>07.80.026</t>
  </si>
  <si>
    <t>Preço unitário (com BDI)</t>
  </si>
  <si>
    <t>PREÇO TOTAL</t>
  </si>
  <si>
    <t>BOLETIM CDHU 189 (DESONERADO - 02/2023); SINAPI 04/2023 (DESONERADO); FDE 04/2023</t>
  </si>
  <si>
    <t>120 dias</t>
  </si>
  <si>
    <r>
      <t xml:space="preserve">COMPOSIÇÃO DE CUSTO UNITÁRIO DO ITEM </t>
    </r>
    <r>
      <rPr>
        <b/>
        <sz val="12"/>
        <rFont val="Times New Roman"/>
        <family val="1"/>
      </rPr>
      <t>14.12</t>
    </r>
  </si>
  <si>
    <t>TOTAL ITEM 14.12</t>
  </si>
  <si>
    <t>Encanador</t>
  </si>
  <si>
    <t>Ajudante de Encanador</t>
  </si>
  <si>
    <t>Servente</t>
  </si>
  <si>
    <t>CDHU</t>
  </si>
  <si>
    <t>B.01.000.010118</t>
  </si>
  <si>
    <t>B.01.000.010119</t>
  </si>
  <si>
    <t>B.01.000.010146</t>
  </si>
  <si>
    <t>E.S 97,78 % (CDHU 02/2023 - DESONERADO)</t>
  </si>
  <si>
    <t>FDE</t>
  </si>
  <si>
    <t>Banheira inox AISI 304 (100 x 60 cm e = 1 mm) polida</t>
  </si>
  <si>
    <t>Restritor de vazão para 6 L/min</t>
  </si>
  <si>
    <t>Válvula americana para pia 3 1/2"</t>
  </si>
  <si>
    <t>Sifão metálico tipo copo DN 1 1/2" x 2"</t>
  </si>
  <si>
    <t>Ducha higiênica</t>
  </si>
  <si>
    <r>
      <t xml:space="preserve">Item </t>
    </r>
    <r>
      <rPr>
        <b/>
        <sz val="10"/>
        <rFont val="Arial"/>
        <family val="2"/>
      </rPr>
      <t>5.1</t>
    </r>
    <r>
      <rPr>
        <sz val="10"/>
        <rFont val="Arial"/>
        <family val="2"/>
      </rPr>
      <t xml:space="preserve"> - Alvenaria de bloco de concreto de vedação ou similar (valor percentual significativo - </t>
    </r>
    <r>
      <rPr>
        <b/>
        <sz val="10"/>
        <rFont val="Arial"/>
        <family val="2"/>
      </rPr>
      <t>4,27%</t>
    </r>
    <r>
      <rPr>
        <sz val="10"/>
        <rFont val="Arial"/>
        <family val="2"/>
      </rPr>
      <t>)</t>
    </r>
  </si>
  <si>
    <r>
      <t xml:space="preserve">Itens </t>
    </r>
    <r>
      <rPr>
        <b/>
        <sz val="10"/>
        <rFont val="Arial"/>
        <family val="2"/>
      </rPr>
      <t>9.2</t>
    </r>
    <r>
      <rPr>
        <sz val="10"/>
        <rFont val="Arial"/>
        <family val="2"/>
      </rPr>
      <t xml:space="preserve"> (Piso porcelanato antiderrapante) E/OU </t>
    </r>
    <r>
      <rPr>
        <b/>
        <sz val="10"/>
        <rFont val="Arial"/>
        <family val="2"/>
      </rPr>
      <t>9.4</t>
    </r>
    <r>
      <rPr>
        <sz val="10"/>
        <rFont val="Arial"/>
        <family val="2"/>
      </rPr>
      <t xml:space="preserve"> (Piso porcelanato) (valor percentual significativo - </t>
    </r>
    <r>
      <rPr>
        <b/>
        <sz val="10"/>
        <rFont val="Arial"/>
        <family val="2"/>
      </rPr>
      <t>3,91% + 2,57% = 6,48%</t>
    </r>
    <r>
      <rPr>
        <sz val="10"/>
        <rFont val="Arial"/>
        <family val="2"/>
      </rPr>
      <t>)</t>
    </r>
  </si>
  <si>
    <t>Banheira inox AISI 304 (100 x 60 cm; e = 1 mm) polida, com ducha higiênica</t>
  </si>
  <si>
    <r>
      <t xml:space="preserve">(***) COMPOSIÇÕES DE CUSTOS UNITÁRIOS DO ITEM </t>
    </r>
    <r>
      <rPr>
        <b/>
        <sz val="10"/>
        <rFont val="Arial"/>
        <family val="2"/>
      </rPr>
      <t>14.12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15.17</t>
    </r>
    <r>
      <rPr>
        <sz val="10"/>
        <rFont val="Arial"/>
        <family val="2"/>
      </rPr>
      <t>, ANEXAS.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</si>
</sst>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8" formatCode="&quot;R$&quot;\ #,##0.00;[Red]\-&quot;R$&quot;\ #,##0.00"/>
    <numFmt numFmtId="43" formatCode="_-* #,##0.00_-;\-* #,##0.00_-;_-* &quot;-&quot;??_-;_-@_-"/>
    <numFmt numFmtId="164" formatCode="&quot;R$&quot;\ #,###.00;[Red]\-&quot;R$&quot;\ #,###.00"/>
    <numFmt numFmtId="165" formatCode="&quot;R$ &quot;\ \ #,##0.00"/>
    <numFmt numFmtId="166" formatCode="_(* #,##0.00_);_(* \(#,##0.00\);_(* &quot;-&quot;??_);_(@_)"/>
    <numFmt numFmtId="167" formatCode="0.00000000%"/>
    <numFmt numFmtId="168" formatCode="0.000000%"/>
    <numFmt numFmtId="169" formatCode="0.000"/>
    <numFmt numFmtId="170" formatCode="0.00000000000"/>
    <numFmt numFmtId="171" formatCode="0.00000%"/>
    <numFmt numFmtId="172" formatCode="0.0000000000"/>
    <numFmt numFmtId="173" formatCode="&quot;R$&quot;\ #,##0.000000;[Red]\-&quot;R$&quot;\ #,##0.000000"/>
  </numFmts>
  <fonts count="4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u/>
      <sz val="9"/>
      <color theme="1"/>
      <name val="Arial"/>
      <family val="2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Border="0" applyProtection="0"/>
    <xf numFmtId="0" fontId="17" fillId="0" borderId="0"/>
    <xf numFmtId="0" fontId="4" fillId="0" borderId="0"/>
    <xf numFmtId="9" fontId="18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304">
    <xf numFmtId="0" fontId="0" fillId="0" borderId="0" xfId="0"/>
    <xf numFmtId="0" fontId="7" fillId="0" borderId="0" xfId="0" applyFont="1"/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2" fontId="7" fillId="4" borderId="1" xfId="0" applyNumberFormat="1" applyFont="1" applyFill="1" applyBorder="1" applyAlignment="1">
      <alignment horizontal="center" vertical="center"/>
    </xf>
    <xf numFmtId="8" fontId="7" fillId="4" borderId="1" xfId="0" applyNumberFormat="1" applyFont="1" applyFill="1" applyBorder="1" applyAlignment="1">
      <alignment horizontal="center" vertical="center"/>
    </xf>
    <xf numFmtId="8" fontId="8" fillId="2" borderId="1" xfId="0" applyNumberFormat="1" applyFont="1" applyFill="1" applyBorder="1" applyAlignment="1">
      <alignment horizontal="center" vertical="center"/>
    </xf>
    <xf numFmtId="8" fontId="7" fillId="0" borderId="0" xfId="0" applyNumberFormat="1" applyFont="1"/>
    <xf numFmtId="0" fontId="13" fillId="0" borderId="0" xfId="0" applyFont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2" fontId="13" fillId="0" borderId="0" xfId="0" applyNumberFormat="1" applyFont="1"/>
    <xf numFmtId="0" fontId="13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2" fontId="17" fillId="0" borderId="1" xfId="5" applyNumberFormat="1" applyBorder="1" applyAlignment="1">
      <alignment horizontal="center"/>
    </xf>
    <xf numFmtId="0" fontId="13" fillId="6" borderId="1" xfId="0" applyFont="1" applyFill="1" applyBorder="1" applyAlignment="1">
      <alignment horizontal="center" vertical="center"/>
    </xf>
    <xf numFmtId="2" fontId="13" fillId="6" borderId="1" xfId="0" applyNumberFormat="1" applyFont="1" applyFill="1" applyBorder="1" applyAlignment="1">
      <alignment horizontal="center" vertical="center"/>
    </xf>
    <xf numFmtId="8" fontId="13" fillId="6" borderId="1" xfId="0" applyNumberFormat="1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center" vertical="center"/>
    </xf>
    <xf numFmtId="2" fontId="11" fillId="0" borderId="1" xfId="5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2" fontId="9" fillId="4" borderId="1" xfId="0" applyNumberFormat="1" applyFont="1" applyFill="1" applyBorder="1" applyAlignment="1">
      <alignment horizontal="center" vertical="center"/>
    </xf>
    <xf numFmtId="8" fontId="9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10" fontId="19" fillId="0" borderId="0" xfId="7" applyNumberFormat="1" applyFont="1"/>
    <xf numFmtId="0" fontId="5" fillId="0" borderId="0" xfId="3" applyFont="1" applyAlignment="1">
      <alignment horizontal="left" vertical="center" wrapText="1" readingOrder="2"/>
    </xf>
    <xf numFmtId="0" fontId="8" fillId="0" borderId="1" xfId="0" applyFont="1" applyBorder="1" applyAlignment="1">
      <alignment horizontal="center"/>
    </xf>
    <xf numFmtId="10" fontId="8" fillId="2" borderId="1" xfId="0" applyNumberFormat="1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2" fontId="7" fillId="0" borderId="0" xfId="0" applyNumberFormat="1" applyFont="1"/>
    <xf numFmtId="10" fontId="8" fillId="0" borderId="3" xfId="0" applyNumberFormat="1" applyFont="1" applyBorder="1" applyAlignment="1">
      <alignment horizontal="center"/>
    </xf>
    <xf numFmtId="10" fontId="8" fillId="0" borderId="4" xfId="0" applyNumberFormat="1" applyFont="1" applyBorder="1" applyAlignment="1">
      <alignment horizontal="center"/>
    </xf>
    <xf numFmtId="165" fontId="10" fillId="3" borderId="6" xfId="3" applyNumberFormat="1" applyFont="1" applyFill="1" applyBorder="1" applyAlignment="1" applyProtection="1">
      <alignment vertical="center"/>
      <protection locked="0"/>
    </xf>
    <xf numFmtId="0" fontId="21" fillId="2" borderId="1" xfId="0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3" fillId="6" borderId="1" xfId="0" applyFont="1" applyFill="1" applyBorder="1" applyAlignment="1">
      <alignment horizontal="left" vertical="center" wrapText="1"/>
    </xf>
    <xf numFmtId="0" fontId="24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8" fillId="7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10" fontId="22" fillId="0" borderId="0" xfId="7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10" fontId="21" fillId="0" borderId="0" xfId="7" applyNumberFormat="1" applyFont="1" applyBorder="1" applyAlignment="1">
      <alignment horizontal="center" vertical="center"/>
    </xf>
    <xf numFmtId="10" fontId="21" fillId="0" borderId="0" xfId="0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/>
    </xf>
    <xf numFmtId="165" fontId="10" fillId="3" borderId="5" xfId="3" applyNumberFormat="1" applyFont="1" applyFill="1" applyBorder="1" applyAlignment="1" applyProtection="1">
      <alignment vertical="center"/>
      <protection locked="0"/>
    </xf>
    <xf numFmtId="0" fontId="21" fillId="0" borderId="1" xfId="0" applyFont="1" applyBorder="1" applyAlignment="1">
      <alignment horizontal="center"/>
    </xf>
    <xf numFmtId="8" fontId="7" fillId="0" borderId="4" xfId="0" applyNumberFormat="1" applyFont="1" applyBorder="1" applyAlignment="1">
      <alignment horizontal="center"/>
    </xf>
    <xf numFmtId="8" fontId="7" fillId="0" borderId="1" xfId="0" applyNumberFormat="1" applyFont="1" applyBorder="1" applyAlignment="1">
      <alignment horizontal="center"/>
    </xf>
    <xf numFmtId="167" fontId="7" fillId="0" borderId="0" xfId="7" applyNumberFormat="1" applyFont="1"/>
    <xf numFmtId="0" fontId="11" fillId="5" borderId="0" xfId="3" applyFont="1" applyFill="1" applyBorder="1" applyAlignment="1">
      <alignment horizontal="left" vertical="top"/>
    </xf>
    <xf numFmtId="0" fontId="10" fillId="5" borderId="0" xfId="3" applyFont="1" applyFill="1" applyBorder="1" applyAlignment="1">
      <alignment vertical="top"/>
    </xf>
    <xf numFmtId="14" fontId="11" fillId="0" borderId="1" xfId="1" applyNumberFormat="1" applyFont="1" applyFill="1" applyBorder="1" applyAlignment="1" applyProtection="1">
      <alignment horizontal="center" vertical="center"/>
    </xf>
    <xf numFmtId="168" fontId="7" fillId="0" borderId="0" xfId="7" applyNumberFormat="1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7" fillId="0" borderId="0" xfId="7" applyNumberFormat="1" applyFont="1"/>
    <xf numFmtId="1" fontId="13" fillId="0" borderId="0" xfId="0" applyNumberFormat="1" applyFont="1"/>
    <xf numFmtId="2" fontId="25" fillId="0" borderId="0" xfId="0" applyNumberFormat="1" applyFont="1"/>
    <xf numFmtId="0" fontId="7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/>
    </xf>
    <xf numFmtId="168" fontId="7" fillId="0" borderId="1" xfId="7" applyNumberFormat="1" applyFont="1" applyBorder="1" applyAlignment="1">
      <alignment horizontal="center"/>
    </xf>
    <xf numFmtId="0" fontId="5" fillId="0" borderId="0" xfId="3" applyFont="1" applyAlignment="1">
      <alignment horizontal="center" vertical="center" readingOrder="2"/>
    </xf>
    <xf numFmtId="0" fontId="7" fillId="0" borderId="1" xfId="0" applyFont="1" applyBorder="1" applyAlignment="1">
      <alignment horizontal="center"/>
    </xf>
    <xf numFmtId="170" fontId="7" fillId="0" borderId="0" xfId="0" applyNumberFormat="1" applyFont="1"/>
    <xf numFmtId="8" fontId="8" fillId="0" borderId="1" xfId="0" applyNumberFormat="1" applyFont="1" applyBorder="1" applyAlignment="1">
      <alignment horizontal="center" vertical="center"/>
    </xf>
    <xf numFmtId="169" fontId="7" fillId="0" borderId="1" xfId="0" applyNumberFormat="1" applyFont="1" applyBorder="1" applyAlignment="1">
      <alignment horizontal="center"/>
    </xf>
    <xf numFmtId="0" fontId="27" fillId="0" borderId="0" xfId="0" applyFont="1"/>
    <xf numFmtId="0" fontId="10" fillId="3" borderId="1" xfId="3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1" fillId="0" borderId="0" xfId="2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2" fontId="11" fillId="0" borderId="1" xfId="2" applyNumberFormat="1" applyBorder="1" applyAlignment="1">
      <alignment horizontal="center"/>
    </xf>
    <xf numFmtId="2" fontId="11" fillId="0" borderId="1" xfId="2" applyNumberFormat="1" applyFont="1" applyBorder="1" applyAlignment="1">
      <alignment horizontal="center"/>
    </xf>
    <xf numFmtId="0" fontId="11" fillId="0" borderId="0" xfId="2" applyFont="1"/>
    <xf numFmtId="2" fontId="11" fillId="0" borderId="1" xfId="2" applyNumberFormat="1" applyBorder="1" applyAlignment="1">
      <alignment horizontal="center" vertical="center"/>
    </xf>
    <xf numFmtId="0" fontId="11" fillId="0" borderId="0" xfId="2" applyFont="1" applyFill="1" applyBorder="1"/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Fill="1" applyBorder="1" applyAlignment="1">
      <alignment horizontal="center"/>
    </xf>
    <xf numFmtId="2" fontId="11" fillId="0" borderId="0" xfId="2" applyNumberFormat="1" applyBorder="1" applyAlignment="1">
      <alignment horizontal="center" vertical="center"/>
    </xf>
    <xf numFmtId="0" fontId="9" fillId="6" borderId="1" xfId="0" applyFont="1" applyFill="1" applyBorder="1" applyAlignment="1">
      <alignment horizontal="justify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/>
    </xf>
    <xf numFmtId="2" fontId="11" fillId="0" borderId="4" xfId="2" applyNumberFormat="1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0" xfId="2" applyFont="1" applyBorder="1" applyAlignment="1">
      <alignment horizontal="center" vertical="center"/>
    </xf>
    <xf numFmtId="0" fontId="11" fillId="0" borderId="0" xfId="2" applyBorder="1"/>
    <xf numFmtId="2" fontId="11" fillId="0" borderId="4" xfId="2" applyNumberForma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1" xfId="2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7" fillId="6" borderId="1" xfId="0" applyFont="1" applyFill="1" applyBorder="1" applyAlignment="1">
      <alignment horizontal="left" vertical="center" wrapText="1"/>
    </xf>
    <xf numFmtId="2" fontId="11" fillId="0" borderId="4" xfId="2" applyNumberFormat="1" applyBorder="1" applyAlignment="1">
      <alignment horizontal="center"/>
    </xf>
    <xf numFmtId="2" fontId="11" fillId="0" borderId="0" xfId="2" applyNumberForma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5" fillId="0" borderId="0" xfId="3" applyFont="1" applyAlignment="1">
      <alignment horizontal="center" vertical="center" readingOrder="2"/>
    </xf>
    <xf numFmtId="2" fontId="7" fillId="0" borderId="1" xfId="0" applyNumberFormat="1" applyFont="1" applyBorder="1" applyAlignment="1">
      <alignment horizontal="center"/>
    </xf>
    <xf numFmtId="0" fontId="6" fillId="0" borderId="0" xfId="3" applyFont="1" applyAlignment="1">
      <alignment vertical="center" readingOrder="2"/>
    </xf>
    <xf numFmtId="0" fontId="28" fillId="0" borderId="0" xfId="12" applyFont="1"/>
    <xf numFmtId="0" fontId="5" fillId="0" borderId="0" xfId="3" applyFont="1" applyAlignment="1">
      <alignment vertical="center" readingOrder="2"/>
    </xf>
    <xf numFmtId="0" fontId="29" fillId="9" borderId="1" xfId="12" applyFont="1" applyFill="1" applyBorder="1" applyAlignment="1">
      <alignment horizontal="center"/>
    </xf>
    <xf numFmtId="0" fontId="28" fillId="0" borderId="1" xfId="12" applyFont="1" applyBorder="1"/>
    <xf numFmtId="0" fontId="30" fillId="0" borderId="1" xfId="12" applyFont="1" applyBorder="1" applyAlignment="1">
      <alignment horizontal="center" vertical="center"/>
    </xf>
    <xf numFmtId="10" fontId="30" fillId="0" borderId="1" xfId="13" applyNumberFormat="1" applyFont="1" applyBorder="1" applyAlignment="1">
      <alignment horizontal="center" vertical="center"/>
    </xf>
    <xf numFmtId="0" fontId="29" fillId="0" borderId="1" xfId="12" applyFont="1" applyBorder="1" applyAlignment="1">
      <alignment horizontal="center" vertical="center"/>
    </xf>
    <xf numFmtId="10" fontId="29" fillId="0" borderId="1" xfId="7" applyNumberFormat="1" applyFont="1" applyBorder="1" applyAlignment="1">
      <alignment horizontal="center" vertical="center"/>
    </xf>
    <xf numFmtId="10" fontId="11" fillId="0" borderId="1" xfId="3" applyNumberFormat="1" applyFont="1" applyFill="1" applyBorder="1" applyAlignment="1" applyProtection="1">
      <alignment horizontal="center" vertical="center"/>
      <protection locked="0"/>
    </xf>
    <xf numFmtId="10" fontId="7" fillId="0" borderId="0" xfId="0" applyNumberFormat="1" applyFont="1"/>
    <xf numFmtId="172" fontId="7" fillId="0" borderId="0" xfId="0" applyNumberFormat="1" applyFont="1"/>
    <xf numFmtId="0" fontId="32" fillId="0" borderId="0" xfId="14" applyFont="1"/>
    <xf numFmtId="0" fontId="32" fillId="0" borderId="0" xfId="14" applyFont="1" applyBorder="1" applyAlignment="1">
      <alignment horizontal="center" vertical="center"/>
    </xf>
    <xf numFmtId="0" fontId="35" fillId="6" borderId="1" xfId="14" applyFont="1" applyFill="1" applyBorder="1" applyAlignment="1">
      <alignment horizontal="center" vertical="center" wrapText="1"/>
    </xf>
    <xf numFmtId="0" fontId="36" fillId="0" borderId="1" xfId="14" applyFont="1" applyBorder="1" applyAlignment="1">
      <alignment horizontal="center"/>
    </xf>
    <xf numFmtId="0" fontId="32" fillId="0" borderId="1" xfId="14" applyFont="1" applyBorder="1" applyAlignment="1">
      <alignment horizontal="center"/>
    </xf>
    <xf numFmtId="0" fontId="32" fillId="0" borderId="1" xfId="14" applyFont="1" applyBorder="1"/>
    <xf numFmtId="0" fontId="32" fillId="0" borderId="1" xfId="14" applyFont="1" applyBorder="1" applyAlignment="1">
      <alignment horizontal="center" vertical="center"/>
    </xf>
    <xf numFmtId="2" fontId="32" fillId="0" borderId="1" xfId="14" applyNumberFormat="1" applyFont="1" applyBorder="1" applyAlignment="1">
      <alignment horizontal="center" vertical="center"/>
    </xf>
    <xf numFmtId="8" fontId="32" fillId="0" borderId="1" xfId="14" applyNumberFormat="1" applyFont="1" applyBorder="1" applyAlignment="1">
      <alignment horizontal="center"/>
    </xf>
    <xf numFmtId="8" fontId="32" fillId="0" borderId="1" xfId="14" applyNumberFormat="1" applyFont="1" applyBorder="1" applyAlignment="1">
      <alignment horizontal="center" vertical="center"/>
    </xf>
    <xf numFmtId="8" fontId="35" fillId="6" borderId="1" xfId="14" applyNumberFormat="1" applyFont="1" applyFill="1" applyBorder="1" applyAlignment="1">
      <alignment horizontal="center" vertical="center"/>
    </xf>
    <xf numFmtId="0" fontId="37" fillId="0" borderId="2" xfId="14" applyFont="1" applyBorder="1" applyAlignment="1">
      <alignment horizontal="center"/>
    </xf>
    <xf numFmtId="0" fontId="37" fillId="0" borderId="3" xfId="14" applyFont="1" applyBorder="1" applyAlignment="1">
      <alignment horizontal="center"/>
    </xf>
    <xf numFmtId="0" fontId="37" fillId="0" borderId="3" xfId="14" applyFont="1" applyBorder="1" applyAlignment="1">
      <alignment horizontal="center" vertical="center"/>
    </xf>
    <xf numFmtId="0" fontId="37" fillId="0" borderId="4" xfId="14" applyFont="1" applyBorder="1" applyAlignment="1">
      <alignment horizontal="center" vertical="center"/>
    </xf>
    <xf numFmtId="8" fontId="32" fillId="0" borderId="0" xfId="14" applyNumberFormat="1" applyFont="1"/>
    <xf numFmtId="8" fontId="33" fillId="6" borderId="1" xfId="14" applyNumberFormat="1" applyFont="1" applyFill="1" applyBorder="1" applyAlignment="1">
      <alignment horizontal="center"/>
    </xf>
    <xf numFmtId="8" fontId="34" fillId="0" borderId="1" xfId="14" applyNumberFormat="1" applyFont="1" applyBorder="1" applyAlignment="1">
      <alignment horizontal="center" vertical="center"/>
    </xf>
    <xf numFmtId="10" fontId="34" fillId="0" borderId="1" xfId="14" applyNumberFormat="1" applyFont="1" applyBorder="1" applyAlignment="1">
      <alignment horizontal="center" vertical="center"/>
    </xf>
    <xf numFmtId="2" fontId="32" fillId="0" borderId="0" xfId="14" applyNumberFormat="1" applyFont="1"/>
    <xf numFmtId="0" fontId="32" fillId="0" borderId="0" xfId="14" applyFont="1" applyFill="1"/>
    <xf numFmtId="0" fontId="32" fillId="0" borderId="0" xfId="14" applyFont="1" applyFill="1" applyAlignment="1">
      <alignment horizontal="center"/>
    </xf>
    <xf numFmtId="0" fontId="35" fillId="0" borderId="0" xfId="14" applyFont="1" applyFill="1" applyBorder="1" applyAlignment="1">
      <alignment horizontal="center"/>
    </xf>
    <xf numFmtId="8" fontId="35" fillId="0" borderId="0" xfId="14" applyNumberFormat="1" applyFont="1" applyFill="1" applyBorder="1" applyAlignment="1">
      <alignment horizontal="center"/>
    </xf>
    <xf numFmtId="0" fontId="32" fillId="0" borderId="0" xfId="14" applyFont="1" applyAlignment="1">
      <alignment horizontal="center" vertical="center"/>
    </xf>
    <xf numFmtId="0" fontId="32" fillId="0" borderId="0" xfId="14" applyFont="1" applyAlignment="1">
      <alignment vertical="center"/>
    </xf>
    <xf numFmtId="8" fontId="35" fillId="2" borderId="1" xfId="14" applyNumberFormat="1" applyFont="1" applyFill="1" applyBorder="1" applyAlignment="1">
      <alignment horizontal="center"/>
    </xf>
    <xf numFmtId="171" fontId="7" fillId="0" borderId="0" xfId="7" applyNumberFormat="1" applyFont="1" applyAlignment="1">
      <alignment horizontal="center"/>
    </xf>
    <xf numFmtId="0" fontId="7" fillId="0" borderId="0" xfId="0" applyFont="1" applyAlignment="1">
      <alignment horizontal="center"/>
    </xf>
    <xf numFmtId="8" fontId="7" fillId="0" borderId="0" xfId="0" applyNumberFormat="1" applyFont="1" applyAlignment="1">
      <alignment horizontal="center"/>
    </xf>
    <xf numFmtId="10" fontId="22" fillId="0" borderId="1" xfId="7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2" fillId="0" borderId="0" xfId="14" applyFont="1" applyAlignment="1">
      <alignment horizontal="center"/>
    </xf>
    <xf numFmtId="0" fontId="35" fillId="6" borderId="2" xfId="14" applyFont="1" applyFill="1" applyBorder="1" applyAlignment="1">
      <alignment horizontal="center" vertical="center"/>
    </xf>
    <xf numFmtId="0" fontId="32" fillId="0" borderId="0" xfId="14" applyFont="1" applyBorder="1" applyAlignment="1">
      <alignment horizontal="right" vertical="center"/>
    </xf>
    <xf numFmtId="0" fontId="35" fillId="6" borderId="1" xfId="14" applyFont="1" applyFill="1" applyBorder="1" applyAlignment="1">
      <alignment horizontal="center" vertical="center"/>
    </xf>
    <xf numFmtId="0" fontId="32" fillId="0" borderId="0" xfId="14" applyFont="1" applyBorder="1" applyAlignment="1">
      <alignment horizontal="center"/>
    </xf>
    <xf numFmtId="0" fontId="36" fillId="0" borderId="1" xfId="14" applyFont="1" applyBorder="1" applyAlignment="1">
      <alignment horizontal="center" vertical="center"/>
    </xf>
    <xf numFmtId="0" fontId="32" fillId="0" borderId="1" xfId="14" applyFont="1" applyBorder="1" applyAlignment="1">
      <alignment vertical="center" wrapText="1"/>
    </xf>
    <xf numFmtId="173" fontId="7" fillId="0" borderId="0" xfId="7" applyNumberFormat="1" applyFont="1"/>
    <xf numFmtId="173" fontId="32" fillId="0" borderId="0" xfId="14" applyNumberFormat="1" applyFont="1"/>
    <xf numFmtId="0" fontId="8" fillId="0" borderId="0" xfId="0" applyFont="1"/>
    <xf numFmtId="0" fontId="39" fillId="0" borderId="0" xfId="15" applyFont="1" applyAlignment="1">
      <alignment horizontal="left"/>
    </xf>
    <xf numFmtId="0" fontId="1" fillId="0" borderId="0" xfId="15" applyAlignment="1">
      <alignment horizontal="center"/>
    </xf>
    <xf numFmtId="0" fontId="1" fillId="0" borderId="0" xfId="15"/>
    <xf numFmtId="0" fontId="38" fillId="0" borderId="1" xfId="15" applyFont="1" applyBorder="1" applyAlignment="1">
      <alignment horizontal="center"/>
    </xf>
    <xf numFmtId="0" fontId="38" fillId="0" borderId="0" xfId="15" applyFont="1"/>
    <xf numFmtId="0" fontId="1" fillId="0" borderId="1" xfId="15" applyBorder="1" applyAlignment="1">
      <alignment horizontal="center"/>
    </xf>
    <xf numFmtId="0" fontId="1" fillId="0" borderId="1" xfId="15" applyBorder="1"/>
    <xf numFmtId="0" fontId="1" fillId="0" borderId="1" xfId="15" applyFill="1" applyBorder="1" applyAlignment="1">
      <alignment horizontal="center"/>
    </xf>
    <xf numFmtId="0" fontId="1" fillId="0" borderId="1" xfId="15" applyBorder="1" applyAlignment="1">
      <alignment horizontal="center" vertical="center"/>
    </xf>
    <xf numFmtId="0" fontId="1" fillId="0" borderId="1" xfId="15" applyBorder="1" applyAlignment="1">
      <alignment wrapText="1"/>
    </xf>
    <xf numFmtId="0" fontId="10" fillId="5" borderId="0" xfId="3" applyFont="1" applyFill="1" applyBorder="1" applyAlignment="1">
      <alignment horizontal="left" vertical="top"/>
    </xf>
    <xf numFmtId="0" fontId="40" fillId="4" borderId="1" xfId="0" applyFont="1" applyFill="1" applyBorder="1" applyAlignment="1">
      <alignment horizontal="center" vertical="center"/>
    </xf>
    <xf numFmtId="0" fontId="32" fillId="0" borderId="0" xfId="14" applyFont="1" applyBorder="1" applyAlignment="1">
      <alignment horizontal="center"/>
    </xf>
    <xf numFmtId="0" fontId="32" fillId="0" borderId="0" xfId="14" applyFont="1" applyBorder="1" applyAlignment="1">
      <alignment horizontal="right" vertical="center"/>
    </xf>
    <xf numFmtId="0" fontId="35" fillId="6" borderId="1" xfId="14" applyFont="1" applyFill="1" applyBorder="1" applyAlignment="1">
      <alignment horizontal="center" vertical="center"/>
    </xf>
    <xf numFmtId="0" fontId="35" fillId="6" borderId="2" xfId="14" applyFont="1" applyFill="1" applyBorder="1" applyAlignment="1">
      <alignment horizontal="center" vertical="center"/>
    </xf>
    <xf numFmtId="0" fontId="32" fillId="0" borderId="0" xfId="14" applyFont="1" applyAlignment="1">
      <alignment horizontal="center"/>
    </xf>
    <xf numFmtId="0" fontId="21" fillId="4" borderId="1" xfId="0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0" fillId="2" borderId="1" xfId="2" applyFont="1" applyFill="1" applyBorder="1" applyAlignment="1">
      <alignment horizontal="center"/>
    </xf>
    <xf numFmtId="0" fontId="10" fillId="0" borderId="1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5" borderId="1" xfId="3" applyFont="1" applyFill="1" applyBorder="1" applyAlignment="1">
      <alignment horizontal="left" vertical="top"/>
    </xf>
    <xf numFmtId="0" fontId="10" fillId="5" borderId="1" xfId="3" applyFont="1" applyFill="1" applyBorder="1" applyAlignment="1">
      <alignment horizontal="left" vertical="top"/>
    </xf>
    <xf numFmtId="0" fontId="26" fillId="5" borderId="1" xfId="3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6" fillId="0" borderId="0" xfId="3" applyFont="1" applyAlignment="1">
      <alignment horizontal="center" vertical="center" readingOrder="2"/>
    </xf>
    <xf numFmtId="0" fontId="16" fillId="0" borderId="0" xfId="3" applyFont="1" applyAlignment="1">
      <alignment horizontal="center" vertical="center" readingOrder="2"/>
    </xf>
    <xf numFmtId="0" fontId="5" fillId="0" borderId="0" xfId="3" applyFont="1" applyAlignment="1">
      <alignment horizontal="center" vertical="center" readingOrder="2"/>
    </xf>
    <xf numFmtId="165" fontId="12" fillId="0" borderId="0" xfId="3" applyNumberFormat="1" applyFont="1" applyFill="1" applyBorder="1" applyAlignment="1" applyProtection="1">
      <alignment horizontal="center" vertical="center" wrapText="1"/>
      <protection locked="0"/>
    </xf>
    <xf numFmtId="165" fontId="10" fillId="3" borderId="1" xfId="3" applyNumberFormat="1" applyFont="1" applyFill="1" applyBorder="1" applyAlignment="1" applyProtection="1">
      <alignment horizontal="center" vertical="center"/>
      <protection locked="0"/>
    </xf>
    <xf numFmtId="165" fontId="11" fillId="3" borderId="1" xfId="3" applyNumberFormat="1" applyFont="1" applyFill="1" applyBorder="1" applyAlignment="1" applyProtection="1">
      <alignment horizontal="center"/>
      <protection locked="0"/>
    </xf>
    <xf numFmtId="0" fontId="11" fillId="0" borderId="1" xfId="3" applyFont="1" applyFill="1" applyBorder="1" applyAlignment="1" applyProtection="1">
      <alignment horizontal="left" vertical="center" wrapText="1"/>
    </xf>
    <xf numFmtId="0" fontId="11" fillId="0" borderId="1" xfId="3" applyFont="1" applyFill="1" applyBorder="1" applyAlignment="1" applyProtection="1">
      <alignment horizontal="left" wrapText="1"/>
      <protection locked="0"/>
    </xf>
    <xf numFmtId="10" fontId="22" fillId="0" borderId="1" xfId="7" applyNumberFormat="1" applyFont="1" applyBorder="1" applyAlignment="1">
      <alignment horizontal="center" vertical="center"/>
    </xf>
    <xf numFmtId="8" fontId="7" fillId="0" borderId="5" xfId="0" applyNumberFormat="1" applyFont="1" applyBorder="1" applyAlignment="1">
      <alignment horizontal="center" vertical="center"/>
    </xf>
    <xf numFmtId="8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5" fontId="9" fillId="0" borderId="1" xfId="3" applyNumberFormat="1" applyFont="1" applyFill="1" applyBorder="1" applyAlignment="1" applyProtection="1">
      <alignment horizontal="left" vertical="center" wrapText="1"/>
      <protection locked="0"/>
    </xf>
    <xf numFmtId="165" fontId="9" fillId="0" borderId="1" xfId="3" applyNumberFormat="1" applyFont="1" applyFill="1" applyBorder="1" applyAlignment="1" applyProtection="1">
      <alignment horizontal="left"/>
      <protection locked="0"/>
    </xf>
    <xf numFmtId="165" fontId="9" fillId="0" borderId="2" xfId="3" applyNumberFormat="1" applyFont="1" applyFill="1" applyBorder="1" applyAlignment="1" applyProtection="1">
      <alignment horizontal="center" vertical="center"/>
      <protection locked="0"/>
    </xf>
    <xf numFmtId="165" fontId="9" fillId="0" borderId="3" xfId="3" applyNumberFormat="1" applyFont="1" applyFill="1" applyBorder="1" applyAlignment="1" applyProtection="1">
      <alignment horizontal="center" vertical="center"/>
      <protection locked="0"/>
    </xf>
    <xf numFmtId="165" fontId="9" fillId="0" borderId="4" xfId="3" applyNumberFormat="1" applyFont="1" applyFill="1" applyBorder="1" applyAlignment="1" applyProtection="1">
      <alignment horizontal="center" vertical="center"/>
      <protection locked="0"/>
    </xf>
    <xf numFmtId="165" fontId="9" fillId="0" borderId="1" xfId="3" applyNumberFormat="1" applyFont="1" applyFill="1" applyBorder="1" applyAlignment="1" applyProtection="1">
      <alignment horizontal="center" vertical="center"/>
      <protection locked="0"/>
    </xf>
    <xf numFmtId="10" fontId="8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8" fontId="8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4" fontId="23" fillId="0" borderId="1" xfId="3" applyNumberFormat="1" applyFont="1" applyFill="1" applyBorder="1" applyAlignment="1" applyProtection="1">
      <alignment horizontal="center" vertical="center"/>
      <protection locked="0"/>
    </xf>
    <xf numFmtId="165" fontId="10" fillId="0" borderId="1" xfId="3" applyNumberFormat="1" applyFont="1" applyFill="1" applyBorder="1" applyAlignment="1" applyProtection="1">
      <alignment horizontal="center" vertical="center"/>
      <protection locked="0"/>
    </xf>
    <xf numFmtId="165" fontId="10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34" fillId="0" borderId="10" xfId="14" applyNumberFormat="1" applyFont="1" applyBorder="1" applyAlignment="1">
      <alignment horizontal="center" vertical="center"/>
    </xf>
    <xf numFmtId="49" fontId="34" fillId="0" borderId="0" xfId="14" applyNumberFormat="1" applyFont="1" applyBorder="1" applyAlignment="1">
      <alignment horizontal="center" vertical="center"/>
    </xf>
    <xf numFmtId="0" fontId="32" fillId="0" borderId="8" xfId="14" applyFont="1" applyBorder="1" applyAlignment="1">
      <alignment horizontal="center"/>
    </xf>
    <xf numFmtId="0" fontId="32" fillId="0" borderId="9" xfId="14" applyFont="1" applyBorder="1" applyAlignment="1">
      <alignment horizontal="center"/>
    </xf>
    <xf numFmtId="49" fontId="33" fillId="0" borderId="10" xfId="14" applyNumberFormat="1" applyFont="1" applyBorder="1" applyAlignment="1">
      <alignment horizontal="center" vertical="center"/>
    </xf>
    <xf numFmtId="49" fontId="33" fillId="0" borderId="0" xfId="14" applyNumberFormat="1" applyFont="1" applyBorder="1" applyAlignment="1">
      <alignment horizontal="center" vertical="center"/>
    </xf>
    <xf numFmtId="49" fontId="34" fillId="0" borderId="10" xfId="14" applyNumberFormat="1" applyFont="1" applyBorder="1" applyAlignment="1">
      <alignment horizontal="center" vertical="center" wrapText="1"/>
    </xf>
    <xf numFmtId="49" fontId="34" fillId="0" borderId="0" xfId="14" applyNumberFormat="1" applyFont="1" applyBorder="1" applyAlignment="1">
      <alignment horizontal="center" vertical="center" wrapText="1"/>
    </xf>
    <xf numFmtId="0" fontId="35" fillId="6" borderId="2" xfId="14" applyFont="1" applyFill="1" applyBorder="1" applyAlignment="1">
      <alignment horizontal="center" vertical="center"/>
    </xf>
    <xf numFmtId="0" fontId="35" fillId="6" borderId="4" xfId="14" applyFont="1" applyFill="1" applyBorder="1" applyAlignment="1">
      <alignment horizontal="center" vertical="center"/>
    </xf>
    <xf numFmtId="0" fontId="32" fillId="0" borderId="10" xfId="14" applyFont="1" applyBorder="1" applyAlignment="1">
      <alignment horizontal="center"/>
    </xf>
    <xf numFmtId="0" fontId="32" fillId="0" borderId="0" xfId="14" applyFont="1" applyBorder="1" applyAlignment="1">
      <alignment horizontal="center"/>
    </xf>
    <xf numFmtId="0" fontId="34" fillId="0" borderId="1" xfId="14" applyFont="1" applyFill="1" applyBorder="1" applyAlignment="1">
      <alignment horizontal="left" vertical="center" wrapText="1"/>
    </xf>
    <xf numFmtId="0" fontId="34" fillId="0" borderId="1" xfId="14" applyFont="1" applyFill="1" applyBorder="1" applyAlignment="1">
      <alignment horizontal="center" vertical="center" wrapText="1"/>
    </xf>
    <xf numFmtId="0" fontId="32" fillId="0" borderId="2" xfId="14" applyFont="1" applyBorder="1" applyAlignment="1">
      <alignment horizontal="left" vertical="center"/>
    </xf>
    <xf numFmtId="0" fontId="32" fillId="0" borderId="3" xfId="14" applyFont="1" applyBorder="1" applyAlignment="1">
      <alignment horizontal="left" vertical="center"/>
    </xf>
    <xf numFmtId="0" fontId="32" fillId="0" borderId="4" xfId="14" applyFont="1" applyBorder="1" applyAlignment="1">
      <alignment horizontal="left" vertical="center"/>
    </xf>
    <xf numFmtId="0" fontId="32" fillId="0" borderId="0" xfId="14" applyFont="1" applyBorder="1" applyAlignment="1">
      <alignment horizontal="right" vertical="center"/>
    </xf>
    <xf numFmtId="0" fontId="35" fillId="6" borderId="1" xfId="14" applyFont="1" applyFill="1" applyBorder="1" applyAlignment="1">
      <alignment horizontal="center" vertical="center"/>
    </xf>
    <xf numFmtId="0" fontId="33" fillId="6" borderId="1" xfId="14" applyFont="1" applyFill="1" applyBorder="1" applyAlignment="1">
      <alignment horizontal="left" vertical="center" wrapText="1"/>
    </xf>
    <xf numFmtId="0" fontId="35" fillId="6" borderId="2" xfId="14" applyFont="1" applyFill="1" applyBorder="1" applyAlignment="1">
      <alignment horizontal="center"/>
    </xf>
    <xf numFmtId="0" fontId="35" fillId="6" borderId="3" xfId="14" applyFont="1" applyFill="1" applyBorder="1" applyAlignment="1">
      <alignment horizontal="center"/>
    </xf>
    <xf numFmtId="0" fontId="33" fillId="6" borderId="2" xfId="14" applyFont="1" applyFill="1" applyBorder="1" applyAlignment="1">
      <alignment horizontal="center"/>
    </xf>
    <xf numFmtId="0" fontId="33" fillId="6" borderId="3" xfId="14" applyFont="1" applyFill="1" applyBorder="1" applyAlignment="1">
      <alignment horizontal="center"/>
    </xf>
    <xf numFmtId="0" fontId="35" fillId="6" borderId="4" xfId="14" applyFont="1" applyFill="1" applyBorder="1" applyAlignment="1">
      <alignment horizontal="center"/>
    </xf>
    <xf numFmtId="0" fontId="32" fillId="0" borderId="0" xfId="14" applyFont="1" applyAlignment="1">
      <alignment horizontal="center"/>
    </xf>
    <xf numFmtId="0" fontId="35" fillId="0" borderId="0" xfId="14" applyFont="1" applyAlignment="1">
      <alignment horizontal="center"/>
    </xf>
    <xf numFmtId="0" fontId="34" fillId="0" borderId="2" xfId="14" applyFont="1" applyBorder="1" applyAlignment="1">
      <alignment horizontal="center" vertical="center"/>
    </xf>
    <xf numFmtId="0" fontId="34" fillId="0" borderId="3" xfId="14" applyFont="1" applyBorder="1" applyAlignment="1">
      <alignment horizontal="center" vertical="center"/>
    </xf>
    <xf numFmtId="0" fontId="34" fillId="0" borderId="4" xfId="14" applyFont="1" applyBorder="1" applyAlignment="1">
      <alignment horizontal="center" vertical="center"/>
    </xf>
    <xf numFmtId="0" fontId="34" fillId="0" borderId="2" xfId="14" applyFont="1" applyBorder="1" applyAlignment="1">
      <alignment horizontal="center"/>
    </xf>
    <xf numFmtId="0" fontId="34" fillId="0" borderId="3" xfId="14" applyFont="1" applyBorder="1" applyAlignment="1">
      <alignment horizontal="center"/>
    </xf>
    <xf numFmtId="0" fontId="34" fillId="0" borderId="4" xfId="14" applyFont="1" applyBorder="1" applyAlignment="1">
      <alignment horizontal="center"/>
    </xf>
    <xf numFmtId="0" fontId="32" fillId="0" borderId="2" xfId="14" applyFont="1" applyBorder="1" applyAlignment="1">
      <alignment horizontal="center"/>
    </xf>
    <xf numFmtId="0" fontId="32" fillId="0" borderId="3" xfId="14" applyFont="1" applyBorder="1" applyAlignment="1">
      <alignment horizontal="center"/>
    </xf>
    <xf numFmtId="0" fontId="32" fillId="0" borderId="4" xfId="14" applyFont="1" applyBorder="1" applyAlignment="1">
      <alignment horizontal="center"/>
    </xf>
    <xf numFmtId="0" fontId="31" fillId="0" borderId="1" xfId="12" applyFont="1" applyBorder="1" applyAlignment="1">
      <alignment horizontal="center" vertical="center"/>
    </xf>
    <xf numFmtId="0" fontId="28" fillId="0" borderId="1" xfId="12" applyFont="1" applyBorder="1" applyAlignment="1">
      <alignment horizontal="center" vertical="center"/>
    </xf>
    <xf numFmtId="0" fontId="29" fillId="2" borderId="1" xfId="12" applyFont="1" applyFill="1" applyBorder="1" applyAlignment="1">
      <alignment horizontal="center"/>
    </xf>
    <xf numFmtId="0" fontId="30" fillId="0" borderId="1" xfId="12" applyFont="1" applyBorder="1" applyAlignment="1">
      <alignment horizontal="left"/>
    </xf>
    <xf numFmtId="0" fontId="8" fillId="6" borderId="1" xfId="0" applyFont="1" applyFill="1" applyBorder="1" applyAlignment="1">
      <alignment horizontal="center"/>
    </xf>
    <xf numFmtId="0" fontId="10" fillId="8" borderId="1" xfId="2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2" fontId="8" fillId="0" borderId="2" xfId="0" applyNumberFormat="1" applyFont="1" applyBorder="1" applyAlignment="1">
      <alignment horizontal="right" vertical="center"/>
    </xf>
    <xf numFmtId="2" fontId="15" fillId="0" borderId="3" xfId="0" applyNumberFormat="1" applyFont="1" applyBorder="1" applyAlignment="1">
      <alignment horizontal="right" vertical="center"/>
    </xf>
    <xf numFmtId="2" fontId="15" fillId="0" borderId="4" xfId="0" applyNumberFormat="1" applyFont="1" applyBorder="1" applyAlignment="1">
      <alignment horizontal="right" vertical="center"/>
    </xf>
  </cellXfs>
  <cellStyles count="16">
    <cellStyle name="Normal" xfId="0" builtinId="0"/>
    <cellStyle name="Normal 10" xfId="2"/>
    <cellStyle name="Normal 2" xfId="5"/>
    <cellStyle name="Normal 3" xfId="6"/>
    <cellStyle name="Normal 3 2" xfId="14"/>
    <cellStyle name="Normal 4" xfId="3"/>
    <cellStyle name="Normal 5" xfId="8"/>
    <cellStyle name="Normal 6" xfId="12"/>
    <cellStyle name="Normal 7" xfId="15"/>
    <cellStyle name="Porcentagem" xfId="7" builtinId="5"/>
    <cellStyle name="Porcentagem 2" xfId="10"/>
    <cellStyle name="Porcentagem 3" xfId="13"/>
    <cellStyle name="Porcentagem 4" xfId="1"/>
    <cellStyle name="Porcentagem 7" xfId="4"/>
    <cellStyle name="Vírgula 2" xfId="9"/>
    <cellStyle name="Vírgula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Curva "S"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1423787420367205"/>
          <c:y val="0.17171296296296296"/>
          <c:w val="0.73077405897055225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'CRONOGRAMA FÍSICO-FINANCEIRO'!$V$49:$V$52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'CRONOGRAMA FÍSICO-FINANCEIRO'!$W$49:$W$52</c:f>
              <c:numCache>
                <c:formatCode>"R$"#,##0.00_);[Red]\("R$"#,##0.00\)</c:formatCode>
                <c:ptCount val="4"/>
                <c:pt idx="0">
                  <c:v>25828.543999999998</c:v>
                </c:pt>
                <c:pt idx="1">
                  <c:v>211370.72700000001</c:v>
                </c:pt>
                <c:pt idx="2">
                  <c:v>496847.96699999995</c:v>
                </c:pt>
                <c:pt idx="3">
                  <c:v>555105.54999999993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EF-4C95-BB25-5D831482E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538880"/>
        <c:axId val="445537896"/>
      </c:scatterChart>
      <c:valAx>
        <c:axId val="445538880"/>
        <c:scaling>
          <c:orientation val="minMax"/>
          <c:max val="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5537896"/>
        <c:crosses val="autoZero"/>
        <c:crossBetween val="midCat"/>
        <c:majorUnit val="1"/>
      </c:valAx>
      <c:valAx>
        <c:axId val="445537896"/>
        <c:scaling>
          <c:orientation val="minMax"/>
          <c:max val="5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5538880"/>
        <c:crosses val="autoZero"/>
        <c:crossBetween val="midCat"/>
        <c:majorUnit val="5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1334011</xdr:colOff>
      <xdr:row>196</xdr:row>
      <xdr:rowOff>19043</xdr:rowOff>
    </xdr:from>
    <xdr:to>
      <xdr:col>5</xdr:col>
      <xdr:colOff>300986</xdr:colOff>
      <xdr:row>198</xdr:row>
      <xdr:rowOff>123825</xdr:rowOff>
    </xdr:to>
    <xdr:sp macro="" textlink="">
      <xdr:nvSpPr>
        <xdr:cNvPr id="2" name="CaixaDeTexto 1"/>
        <xdr:cNvSpPr txBox="1"/>
      </xdr:nvSpPr>
      <xdr:spPr>
        <a:xfrm>
          <a:off x="2515111" y="38928668"/>
          <a:ext cx="3472300" cy="419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00" b="1" u="non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ADRIANO DE OLIVEIRA E SILVA</a:t>
          </a:r>
        </a:p>
        <a:p>
          <a:pPr algn="ctr"/>
          <a:r>
            <a:rPr lang="pt-BR" sz="1000" u="non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Engenheiro</a:t>
          </a:r>
          <a:r>
            <a:rPr lang="pt-BR" sz="1000" u="none" baseline="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 Civil - </a:t>
          </a:r>
          <a:r>
            <a:rPr lang="pt-BR" sz="1000" u="none">
              <a:effectLst/>
              <a:latin typeface="Arial" panose="020B0604020202020204" pitchFamily="7" charset="0"/>
              <a:cs typeface="Arial" panose="020B0604020202020204" pitchFamily="7" charset="0"/>
            </a:rPr>
            <a:t>CREA/SP 5069635272</a:t>
          </a:r>
          <a:endParaRPr lang="pt-BR" altLang="en-US" sz="1000" u="none">
            <a:effectLst/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87905</xdr:colOff>
      <xdr:row>0</xdr:row>
      <xdr:rowOff>39759</xdr:rowOff>
    </xdr:from>
    <xdr:to>
      <xdr:col>1</xdr:col>
      <xdr:colOff>419100</xdr:colOff>
      <xdr:row>4</xdr:row>
      <xdr:rowOff>67822</xdr:rowOff>
    </xdr:to>
    <xdr:pic>
      <xdr:nvPicPr>
        <xdr:cNvPr id="3" name="Picture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05" y="39759"/>
          <a:ext cx="702670" cy="637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145054</xdr:colOff>
      <xdr:row>0</xdr:row>
      <xdr:rowOff>20709</xdr:rowOff>
    </xdr:from>
    <xdr:to>
      <xdr:col>2</xdr:col>
      <xdr:colOff>82047</xdr:colOff>
      <xdr:row>3</xdr:row>
      <xdr:rowOff>180975</xdr:rowOff>
    </xdr:to>
    <xdr:pic>
      <xdr:nvPicPr>
        <xdr:cNvPr id="3" name="Picture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654" y="20709"/>
          <a:ext cx="660893" cy="722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44</xdr:row>
      <xdr:rowOff>123825</xdr:rowOff>
    </xdr:from>
    <xdr:to>
      <xdr:col>2</xdr:col>
      <xdr:colOff>2300725</xdr:colOff>
      <xdr:row>48</xdr:row>
      <xdr:rowOff>114300</xdr:rowOff>
    </xdr:to>
    <xdr:sp macro="" textlink="">
      <xdr:nvSpPr>
        <xdr:cNvPr id="4" name="CaixaDeTexto 3"/>
        <xdr:cNvSpPr txBox="1"/>
      </xdr:nvSpPr>
      <xdr:spPr>
        <a:xfrm>
          <a:off x="809625" y="5686425"/>
          <a:ext cx="2824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00" b="1" u="non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ADRIANO DE OLIVEIRA E SILVA</a:t>
          </a:r>
        </a:p>
        <a:p>
          <a:pPr algn="ctr"/>
          <a:r>
            <a:rPr lang="pt-BR" sz="1000" u="non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Engenheiro</a:t>
          </a:r>
          <a:r>
            <a:rPr lang="pt-BR" sz="1000" u="none" baseline="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 Civil</a:t>
          </a:r>
          <a:endParaRPr lang="pt-BR" sz="1000" u="non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algn="ctr"/>
          <a:r>
            <a:rPr lang="pt-BR" sz="1000" u="none">
              <a:effectLst/>
              <a:latin typeface="Arial" panose="020B0604020202020204" pitchFamily="7" charset="0"/>
              <a:cs typeface="Arial" panose="020B0604020202020204" pitchFamily="7" charset="0"/>
            </a:rPr>
            <a:t>CREA-SP 5069635272</a:t>
          </a:r>
          <a:endParaRPr lang="pt-BR" altLang="en-US" sz="1000" u="none">
            <a:effectLst/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552450</xdr:colOff>
      <xdr:row>51</xdr:row>
      <xdr:rowOff>76199</xdr:rowOff>
    </xdr:from>
    <xdr:to>
      <xdr:col>13</xdr:col>
      <xdr:colOff>209550</xdr:colOff>
      <xdr:row>80</xdr:row>
      <xdr:rowOff>28575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1704975</xdr:colOff>
      <xdr:row>0</xdr:row>
      <xdr:rowOff>142875</xdr:rowOff>
    </xdr:from>
    <xdr:to>
      <xdr:col>0</xdr:col>
      <xdr:colOff>2752725</xdr:colOff>
      <xdr:row>7</xdr:row>
      <xdr:rowOff>9525</xdr:rowOff>
    </xdr:to>
    <xdr:pic>
      <xdr:nvPicPr>
        <xdr:cNvPr id="2" name="Picture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57150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38100</xdr:rowOff>
    </xdr:from>
    <xdr:to>
      <xdr:col>0</xdr:col>
      <xdr:colOff>962025</xdr:colOff>
      <xdr:row>7</xdr:row>
      <xdr:rowOff>0</xdr:rowOff>
    </xdr:to>
    <xdr:pic>
      <xdr:nvPicPr>
        <xdr:cNvPr id="3" name="Picture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866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1704975</xdr:colOff>
      <xdr:row>0</xdr:row>
      <xdr:rowOff>142875</xdr:rowOff>
    </xdr:from>
    <xdr:to>
      <xdr:col>0</xdr:col>
      <xdr:colOff>2752725</xdr:colOff>
      <xdr:row>7</xdr:row>
      <xdr:rowOff>9525</xdr:rowOff>
    </xdr:to>
    <xdr:pic>
      <xdr:nvPicPr>
        <xdr:cNvPr id="2" name="Picture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57150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38100</xdr:rowOff>
    </xdr:from>
    <xdr:to>
      <xdr:col>0</xdr:col>
      <xdr:colOff>962025</xdr:colOff>
      <xdr:row>7</xdr:row>
      <xdr:rowOff>0</xdr:rowOff>
    </xdr:to>
    <xdr:pic>
      <xdr:nvPicPr>
        <xdr:cNvPr id="3" name="Picture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866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22</xdr:row>
      <xdr:rowOff>57150</xdr:rowOff>
    </xdr:from>
    <xdr:to>
      <xdr:col>3</xdr:col>
      <xdr:colOff>953065</xdr:colOff>
      <xdr:row>26</xdr:row>
      <xdr:rowOff>57235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3505200"/>
          <a:ext cx="4048690" cy="609685"/>
        </a:xfrm>
        <a:prstGeom prst="rect">
          <a:avLst/>
        </a:prstGeom>
      </xdr:spPr>
    </xdr:pic>
    <xdr:clientData/>
  </xdr:twoCellAnchor>
  <xdr:twoCellAnchor>
    <xdr:from>
      <xdr:col>1</xdr:col>
      <xdr:colOff>30755</xdr:colOff>
      <xdr:row>0</xdr:row>
      <xdr:rowOff>106434</xdr:rowOff>
    </xdr:from>
    <xdr:to>
      <xdr:col>2</xdr:col>
      <xdr:colOff>314326</xdr:colOff>
      <xdr:row>4</xdr:row>
      <xdr:rowOff>115595</xdr:rowOff>
    </xdr:to>
    <xdr:pic>
      <xdr:nvPicPr>
        <xdr:cNvPr id="3" name="Picture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355" y="106434"/>
          <a:ext cx="978896" cy="752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247650</xdr:colOff>
      <xdr:row>29</xdr:row>
      <xdr:rowOff>76200</xdr:rowOff>
    </xdr:from>
    <xdr:to>
      <xdr:col>3</xdr:col>
      <xdr:colOff>1157725</xdr:colOff>
      <xdr:row>33</xdr:row>
      <xdr:rowOff>104775</xdr:rowOff>
    </xdr:to>
    <xdr:sp macro="" textlink="">
      <xdr:nvSpPr>
        <xdr:cNvPr id="4" name="CaixaDeTexto 3"/>
        <xdr:cNvSpPr txBox="1"/>
      </xdr:nvSpPr>
      <xdr:spPr>
        <a:xfrm>
          <a:off x="857250" y="4591050"/>
          <a:ext cx="4424800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00" b="1" u="non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ADRIANO DE OLIVEIRA E SILVA</a:t>
          </a:r>
        </a:p>
        <a:p>
          <a:pPr algn="ctr"/>
          <a:r>
            <a:rPr lang="pt-BR" sz="1000" u="non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Engenheiro</a:t>
          </a:r>
          <a:r>
            <a:rPr lang="pt-BR" sz="1000" u="none" baseline="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 Civil</a:t>
          </a:r>
          <a:endParaRPr lang="pt-BR" sz="1000" u="non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algn="ctr"/>
          <a:r>
            <a:rPr lang="pt-BR" sz="1000" u="none">
              <a:effectLst/>
              <a:latin typeface="Arial" panose="020B0604020202020204" pitchFamily="7" charset="0"/>
              <a:cs typeface="Arial" panose="020B0604020202020204" pitchFamily="7" charset="0"/>
            </a:rPr>
            <a:t>CREA-SP 5069635272</a:t>
          </a:r>
          <a:endParaRPr lang="pt-BR" altLang="en-US" sz="1000" u="none">
            <a:effectLst/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4"/>
  <sheetViews>
    <sheetView topLeftCell="A316" workbookViewId="0">
      <selection activeCell="B342" sqref="B342"/>
    </sheetView>
  </sheetViews>
  <sheetFormatPr defaultRowHeight="12.75"/>
  <cols>
    <col min="1" max="3" width="9.140625" style="96"/>
    <col min="4" max="4" width="128" style="96" customWidth="1"/>
    <col min="5" max="16384" width="9.140625" style="96"/>
  </cols>
  <sheetData>
    <row r="1" spans="2:4">
      <c r="B1" s="203" t="s">
        <v>513</v>
      </c>
      <c r="C1" s="203"/>
      <c r="D1" s="203"/>
    </row>
    <row r="3" spans="2:4">
      <c r="B3" s="110" t="s">
        <v>0</v>
      </c>
      <c r="C3" s="110" t="s">
        <v>430</v>
      </c>
      <c r="D3" s="110" t="s">
        <v>429</v>
      </c>
    </row>
    <row r="4" spans="2:4">
      <c r="B4" s="97" t="s">
        <v>34</v>
      </c>
      <c r="C4" s="99">
        <f>2*1.5</f>
        <v>3</v>
      </c>
      <c r="D4" s="100" t="s">
        <v>471</v>
      </c>
    </row>
    <row r="6" spans="2:4">
      <c r="B6" s="110" t="s">
        <v>0</v>
      </c>
      <c r="C6" s="110" t="s">
        <v>430</v>
      </c>
      <c r="D6" s="110" t="s">
        <v>429</v>
      </c>
    </row>
    <row r="7" spans="2:4">
      <c r="B7" s="202" t="s">
        <v>23</v>
      </c>
      <c r="C7" s="118">
        <f>0.65*0.65*0.15</f>
        <v>6.3375000000000001E-2</v>
      </c>
      <c r="D7" s="97" t="s">
        <v>470</v>
      </c>
    </row>
    <row r="8" spans="2:4">
      <c r="B8" s="202"/>
      <c r="C8" s="118">
        <f>0.9*2.1*0.15</f>
        <v>0.28350000000000003</v>
      </c>
      <c r="D8" s="97" t="s">
        <v>469</v>
      </c>
    </row>
    <row r="9" spans="2:4">
      <c r="B9" s="202"/>
      <c r="C9" s="118">
        <f>'BANHEIRO AO LADO DA SALA PROF'!C8</f>
        <v>0.252</v>
      </c>
      <c r="D9" s="97" t="s">
        <v>468</v>
      </c>
    </row>
    <row r="10" spans="2:4">
      <c r="B10" s="202"/>
      <c r="C10" s="118">
        <f>0.8*2.1*0.15</f>
        <v>0.252</v>
      </c>
      <c r="D10" s="97" t="s">
        <v>472</v>
      </c>
    </row>
    <row r="11" spans="2:4">
      <c r="B11" s="202"/>
      <c r="C11" s="118">
        <f>((6.1+1.85)*2.8*0.15)+(11*3*0.15)</f>
        <v>8.2889999999999997</v>
      </c>
      <c r="D11" s="97" t="s">
        <v>660</v>
      </c>
    </row>
    <row r="12" spans="2:4">
      <c r="B12" s="202"/>
      <c r="C12" s="118">
        <f>2.4*3*0.15</f>
        <v>1.0799999999999998</v>
      </c>
      <c r="D12" s="97" t="s">
        <v>663</v>
      </c>
    </row>
    <row r="14" spans="2:4">
      <c r="B14" s="110" t="s">
        <v>0</v>
      </c>
      <c r="C14" s="110" t="s">
        <v>430</v>
      </c>
      <c r="D14" s="110" t="s">
        <v>429</v>
      </c>
    </row>
    <row r="15" spans="2:4">
      <c r="B15" s="202" t="s">
        <v>392</v>
      </c>
      <c r="C15" s="118">
        <f>(1.6*2.9+3.9*2.9-3.1*2.1+3.4*2.9-1.45*1)</f>
        <v>17.849999999999998</v>
      </c>
      <c r="D15" s="97" t="s">
        <v>467</v>
      </c>
    </row>
    <row r="16" spans="2:4">
      <c r="B16" s="202"/>
      <c r="C16" s="118">
        <f>(14.5*3-0.8*2.1-1.2*1.2)</f>
        <v>40.380000000000003</v>
      </c>
      <c r="D16" s="97" t="s">
        <v>666</v>
      </c>
    </row>
    <row r="17" spans="2:4">
      <c r="B17" s="202"/>
      <c r="C17" s="118">
        <f>(11.07*3-2*1.12*0.52-0.8*2.1)</f>
        <v>30.365200000000002</v>
      </c>
      <c r="D17" s="97" t="s">
        <v>466</v>
      </c>
    </row>
    <row r="18" spans="2:4">
      <c r="B18" s="202"/>
      <c r="C18" s="118">
        <v>11.66</v>
      </c>
      <c r="D18" s="97" t="s">
        <v>668</v>
      </c>
    </row>
    <row r="19" spans="2:4">
      <c r="B19" s="202"/>
      <c r="C19" s="118">
        <v>7.45</v>
      </c>
      <c r="D19" s="97" t="s">
        <v>667</v>
      </c>
    </row>
    <row r="20" spans="2:4">
      <c r="B20" s="119"/>
      <c r="C20" s="107"/>
      <c r="D20" s="115"/>
    </row>
    <row r="21" spans="2:4">
      <c r="B21" s="110" t="s">
        <v>0</v>
      </c>
      <c r="C21" s="110" t="s">
        <v>430</v>
      </c>
      <c r="D21" s="110" t="s">
        <v>429</v>
      </c>
    </row>
    <row r="22" spans="2:4">
      <c r="B22" s="97" t="s">
        <v>699</v>
      </c>
      <c r="C22" s="100">
        <f>13.85*2.2/2</f>
        <v>15.235000000000001</v>
      </c>
      <c r="D22" s="100" t="s">
        <v>701</v>
      </c>
    </row>
    <row r="24" spans="2:4">
      <c r="B24" s="110" t="s">
        <v>0</v>
      </c>
      <c r="C24" s="110" t="s">
        <v>430</v>
      </c>
      <c r="D24" s="110" t="s">
        <v>429</v>
      </c>
    </row>
    <row r="25" spans="2:4">
      <c r="B25" s="202" t="s">
        <v>393</v>
      </c>
      <c r="C25" s="118">
        <f>54.47*0.07</f>
        <v>3.8129000000000004</v>
      </c>
      <c r="D25" s="97" t="s">
        <v>464</v>
      </c>
    </row>
    <row r="26" spans="2:4">
      <c r="B26" s="202"/>
      <c r="C26" s="118">
        <f>(0.06*1.15*1.2)</f>
        <v>8.2799999999999985E-2</v>
      </c>
      <c r="D26" s="97" t="s">
        <v>465</v>
      </c>
    </row>
    <row r="27" spans="2:4">
      <c r="B27" s="202"/>
      <c r="C27" s="118">
        <f>41.76*0.08</f>
        <v>3.3407999999999998</v>
      </c>
      <c r="D27" s="97" t="s">
        <v>694</v>
      </c>
    </row>
    <row r="28" spans="2:4">
      <c r="B28" s="119"/>
      <c r="C28" s="107"/>
      <c r="D28" s="115"/>
    </row>
    <row r="29" spans="2:4">
      <c r="B29" s="110" t="s">
        <v>0</v>
      </c>
      <c r="C29" s="110" t="s">
        <v>430</v>
      </c>
      <c r="D29" s="110" t="s">
        <v>429</v>
      </c>
    </row>
    <row r="30" spans="2:4">
      <c r="B30" s="202" t="s">
        <v>540</v>
      </c>
      <c r="C30" s="102">
        <f>(21.77*0.12)</f>
        <v>2.6124000000000001</v>
      </c>
      <c r="D30" s="97" t="s">
        <v>661</v>
      </c>
    </row>
    <row r="31" spans="2:4">
      <c r="B31" s="202"/>
      <c r="C31" s="102">
        <f>((6.08+4.85)*0.5*0.2+3*(0.4*0.2*3))</f>
        <v>1.8130000000000002</v>
      </c>
      <c r="D31" s="97" t="s">
        <v>662</v>
      </c>
    </row>
    <row r="32" spans="2:4">
      <c r="B32" s="119"/>
      <c r="C32" s="107"/>
      <c r="D32" s="115"/>
    </row>
    <row r="33" spans="2:4">
      <c r="B33" s="110" t="s">
        <v>0</v>
      </c>
      <c r="C33" s="110" t="s">
        <v>430</v>
      </c>
      <c r="D33" s="110" t="s">
        <v>429</v>
      </c>
    </row>
    <row r="34" spans="2:4">
      <c r="B34" s="97" t="s">
        <v>394</v>
      </c>
      <c r="C34" s="100">
        <v>29.9</v>
      </c>
      <c r="D34" s="100" t="s">
        <v>463</v>
      </c>
    </row>
    <row r="36" spans="2:4">
      <c r="B36" s="110" t="s">
        <v>0</v>
      </c>
      <c r="C36" s="110" t="s">
        <v>430</v>
      </c>
      <c r="D36" s="110" t="s">
        <v>429</v>
      </c>
    </row>
    <row r="37" spans="2:4">
      <c r="B37" s="202" t="s">
        <v>395</v>
      </c>
      <c r="C37" s="102">
        <f>1.8*1.8</f>
        <v>3.24</v>
      </c>
      <c r="D37" s="97" t="s">
        <v>670</v>
      </c>
    </row>
    <row r="38" spans="2:4">
      <c r="B38" s="202"/>
      <c r="C38" s="102">
        <f>1.1*2.1</f>
        <v>2.3100000000000005</v>
      </c>
      <c r="D38" s="97" t="s">
        <v>669</v>
      </c>
    </row>
    <row r="40" spans="2:4">
      <c r="B40" s="110" t="s">
        <v>0</v>
      </c>
      <c r="C40" s="110" t="s">
        <v>430</v>
      </c>
      <c r="D40" s="110" t="s">
        <v>429</v>
      </c>
    </row>
    <row r="41" spans="2:4">
      <c r="B41" s="202" t="s">
        <v>396</v>
      </c>
      <c r="C41" s="102">
        <f>8*(2.1*2+0.8)</f>
        <v>40</v>
      </c>
      <c r="D41" s="97" t="s">
        <v>665</v>
      </c>
    </row>
    <row r="42" spans="2:4">
      <c r="B42" s="202"/>
      <c r="C42" s="102">
        <f>2*(2.1*2+0.7)</f>
        <v>9.8000000000000007</v>
      </c>
      <c r="D42" s="97" t="s">
        <v>664</v>
      </c>
    </row>
    <row r="43" spans="2:4">
      <c r="B43" s="116"/>
      <c r="C43" s="107"/>
      <c r="D43" s="115"/>
    </row>
    <row r="44" spans="2:4">
      <c r="B44" s="110" t="s">
        <v>0</v>
      </c>
      <c r="C44" s="110" t="s">
        <v>430</v>
      </c>
      <c r="D44" s="110" t="s">
        <v>429</v>
      </c>
    </row>
    <row r="45" spans="2:4">
      <c r="B45" s="202" t="s">
        <v>397</v>
      </c>
      <c r="C45" s="99">
        <v>1</v>
      </c>
      <c r="D45" s="100" t="s">
        <v>462</v>
      </c>
    </row>
    <row r="46" spans="2:4">
      <c r="B46" s="205"/>
      <c r="C46" s="99">
        <v>1</v>
      </c>
      <c r="D46" s="100" t="s">
        <v>461</v>
      </c>
    </row>
    <row r="47" spans="2:4">
      <c r="B47" s="206"/>
      <c r="C47" s="99">
        <v>1</v>
      </c>
      <c r="D47" s="100" t="s">
        <v>460</v>
      </c>
    </row>
    <row r="49" spans="2:4">
      <c r="B49" s="110" t="s">
        <v>0</v>
      </c>
      <c r="C49" s="110" t="s">
        <v>430</v>
      </c>
      <c r="D49" s="110" t="s">
        <v>429</v>
      </c>
    </row>
    <row r="50" spans="2:4">
      <c r="B50" s="97" t="s">
        <v>398</v>
      </c>
      <c r="C50" s="100">
        <f>(15+15)*1.1</f>
        <v>33</v>
      </c>
      <c r="D50" s="100" t="s">
        <v>459</v>
      </c>
    </row>
    <row r="51" spans="2:4">
      <c r="B51" s="115"/>
      <c r="C51" s="114"/>
      <c r="D51" s="114"/>
    </row>
    <row r="52" spans="2:4">
      <c r="B52" s="110" t="s">
        <v>0</v>
      </c>
      <c r="C52" s="110" t="s">
        <v>430</v>
      </c>
      <c r="D52" s="110" t="s">
        <v>429</v>
      </c>
    </row>
    <row r="53" spans="2:4">
      <c r="B53" s="202" t="s">
        <v>395</v>
      </c>
      <c r="C53" s="111">
        <v>3</v>
      </c>
      <c r="D53" s="100" t="s">
        <v>690</v>
      </c>
    </row>
    <row r="54" spans="2:4">
      <c r="B54" s="202"/>
      <c r="C54" s="111">
        <v>3</v>
      </c>
      <c r="D54" s="100" t="s">
        <v>691</v>
      </c>
    </row>
    <row r="55" spans="2:4">
      <c r="B55" s="202"/>
      <c r="C55" s="111">
        <v>2</v>
      </c>
      <c r="D55" s="100" t="s">
        <v>692</v>
      </c>
    </row>
    <row r="56" spans="2:4">
      <c r="B56" s="202"/>
      <c r="C56" s="100">
        <v>1</v>
      </c>
      <c r="D56" s="100" t="s">
        <v>693</v>
      </c>
    </row>
    <row r="57" spans="2:4">
      <c r="B57" s="115"/>
      <c r="C57" s="114"/>
      <c r="D57" s="114"/>
    </row>
    <row r="58" spans="2:4">
      <c r="B58" s="110" t="s">
        <v>0</v>
      </c>
      <c r="C58" s="110" t="s">
        <v>430</v>
      </c>
      <c r="D58" s="110" t="s">
        <v>429</v>
      </c>
    </row>
    <row r="59" spans="2:4">
      <c r="B59" s="97" t="s">
        <v>399</v>
      </c>
      <c r="C59" s="100">
        <v>2</v>
      </c>
      <c r="D59" s="100" t="s">
        <v>458</v>
      </c>
    </row>
    <row r="60" spans="2:4">
      <c r="B60" s="115"/>
      <c r="C60" s="114"/>
      <c r="D60" s="114"/>
    </row>
    <row r="61" spans="2:4">
      <c r="B61" s="110" t="s">
        <v>0</v>
      </c>
      <c r="C61" s="110" t="s">
        <v>430</v>
      </c>
      <c r="D61" s="110" t="s">
        <v>429</v>
      </c>
    </row>
    <row r="62" spans="2:4">
      <c r="B62" s="97" t="s">
        <v>695</v>
      </c>
      <c r="C62" s="100">
        <f>ROUNDDOWN((103.57-101.4)*13.85/2*3.05,2)</f>
        <v>45.83</v>
      </c>
      <c r="D62" s="100" t="s">
        <v>697</v>
      </c>
    </row>
    <row r="63" spans="2:4">
      <c r="B63" s="115"/>
      <c r="C63" s="114"/>
      <c r="D63" s="114"/>
    </row>
    <row r="64" spans="2:4">
      <c r="B64" s="115"/>
      <c r="C64" s="114"/>
      <c r="D64" s="114"/>
    </row>
    <row r="65" spans="2:4">
      <c r="B65" s="203" t="s">
        <v>564</v>
      </c>
      <c r="C65" s="203"/>
      <c r="D65" s="203"/>
    </row>
    <row r="67" spans="2:4">
      <c r="B67" s="110" t="s">
        <v>0</v>
      </c>
      <c r="C67" s="110" t="s">
        <v>430</v>
      </c>
      <c r="D67" s="110" t="s">
        <v>429</v>
      </c>
    </row>
    <row r="68" spans="2:4">
      <c r="B68" s="202" t="s">
        <v>537</v>
      </c>
      <c r="C68" s="100">
        <f>26.57*1</f>
        <v>26.57</v>
      </c>
      <c r="D68" s="97" t="s">
        <v>612</v>
      </c>
    </row>
    <row r="69" spans="2:4">
      <c r="B69" s="202"/>
      <c r="C69" s="100">
        <f>1.2*25</f>
        <v>30</v>
      </c>
      <c r="D69" s="97" t="s">
        <v>659</v>
      </c>
    </row>
    <row r="70" spans="2:4">
      <c r="B70" s="115"/>
      <c r="C70" s="114"/>
      <c r="D70" s="114"/>
    </row>
    <row r="71" spans="2:4">
      <c r="B71" s="110" t="s">
        <v>0</v>
      </c>
      <c r="C71" s="110" t="s">
        <v>430</v>
      </c>
      <c r="D71" s="110" t="s">
        <v>429</v>
      </c>
    </row>
    <row r="72" spans="2:4">
      <c r="B72" s="112" t="s">
        <v>356</v>
      </c>
      <c r="C72" s="100">
        <f>FUNDAÇÃO!C8+FUNDAÇÃO!C20</f>
        <v>21.52</v>
      </c>
      <c r="D72" s="97" t="s">
        <v>616</v>
      </c>
    </row>
    <row r="73" spans="2:4">
      <c r="B73" s="115"/>
      <c r="C73" s="114"/>
      <c r="D73" s="114"/>
    </row>
    <row r="74" spans="2:4">
      <c r="B74" s="110" t="s">
        <v>0</v>
      </c>
      <c r="C74" s="110" t="s">
        <v>430</v>
      </c>
      <c r="D74" s="110" t="s">
        <v>429</v>
      </c>
    </row>
    <row r="75" spans="2:4">
      <c r="B75" s="112" t="s">
        <v>356</v>
      </c>
      <c r="C75" s="100">
        <f>FUNDAÇÃO!C11+FUNDAÇÃO!C23</f>
        <v>0.41000000000000003</v>
      </c>
      <c r="D75" s="97" t="s">
        <v>616</v>
      </c>
    </row>
    <row r="76" spans="2:4">
      <c r="B76" s="115"/>
      <c r="C76" s="114"/>
      <c r="D76" s="114"/>
    </row>
    <row r="77" spans="2:4">
      <c r="B77" s="110" t="s">
        <v>0</v>
      </c>
      <c r="C77" s="110" t="s">
        <v>430</v>
      </c>
      <c r="D77" s="110" t="s">
        <v>429</v>
      </c>
    </row>
    <row r="78" spans="2:4">
      <c r="B78" s="112" t="s">
        <v>115</v>
      </c>
      <c r="C78" s="100">
        <f>FUNDAÇÃO!C7+FUNDAÇÃO!C19</f>
        <v>1.6199999999999999</v>
      </c>
      <c r="D78" s="97" t="s">
        <v>616</v>
      </c>
    </row>
    <row r="79" spans="2:4">
      <c r="B79" s="115"/>
      <c r="C79" s="114"/>
      <c r="D79" s="114"/>
    </row>
    <row r="80" spans="2:4">
      <c r="B80" s="110" t="s">
        <v>0</v>
      </c>
      <c r="C80" s="110" t="s">
        <v>430</v>
      </c>
      <c r="D80" s="110" t="s">
        <v>429</v>
      </c>
    </row>
    <row r="81" spans="2:4">
      <c r="B81" s="112" t="s">
        <v>20</v>
      </c>
      <c r="C81" s="100">
        <f>FUNDAÇÃO!C9+FUNDAÇÃO!C21</f>
        <v>132.79</v>
      </c>
      <c r="D81" s="97" t="s">
        <v>616</v>
      </c>
    </row>
    <row r="82" spans="2:4">
      <c r="B82" s="115"/>
      <c r="C82" s="114"/>
      <c r="D82" s="114"/>
    </row>
    <row r="83" spans="2:4">
      <c r="B83" s="110" t="s">
        <v>0</v>
      </c>
      <c r="C83" s="110" t="s">
        <v>430</v>
      </c>
      <c r="D83" s="110" t="s">
        <v>429</v>
      </c>
    </row>
    <row r="84" spans="2:4">
      <c r="B84" s="112" t="s">
        <v>118</v>
      </c>
      <c r="C84" s="100">
        <f>FUNDAÇÃO!C10+FUNDAÇÃO!C22</f>
        <v>19.049999999999997</v>
      </c>
      <c r="D84" s="97" t="s">
        <v>616</v>
      </c>
    </row>
    <row r="85" spans="2:4">
      <c r="B85" s="115"/>
      <c r="C85" s="114"/>
      <c r="D85" s="114"/>
    </row>
    <row r="86" spans="2:4">
      <c r="B86" s="110" t="s">
        <v>0</v>
      </c>
      <c r="C86" s="110" t="s">
        <v>430</v>
      </c>
      <c r="D86" s="110" t="s">
        <v>429</v>
      </c>
    </row>
    <row r="87" spans="2:4">
      <c r="B87" s="112" t="s">
        <v>364</v>
      </c>
      <c r="C87" s="100">
        <f>FUNDAÇÃO!C13+FUNDAÇÃO!C25</f>
        <v>4.24</v>
      </c>
      <c r="D87" s="97" t="s">
        <v>616</v>
      </c>
    </row>
    <row r="88" spans="2:4">
      <c r="B88" s="115"/>
      <c r="C88" s="114"/>
      <c r="D88" s="114"/>
    </row>
    <row r="89" spans="2:4">
      <c r="B89" s="110" t="s">
        <v>0</v>
      </c>
      <c r="C89" s="110" t="s">
        <v>430</v>
      </c>
      <c r="D89" s="110" t="s">
        <v>429</v>
      </c>
    </row>
    <row r="90" spans="2:4">
      <c r="B90" s="202" t="s">
        <v>18</v>
      </c>
      <c r="C90" s="111">
        <f>((6+6)*4)</f>
        <v>48</v>
      </c>
      <c r="D90" s="97" t="s">
        <v>613</v>
      </c>
    </row>
    <row r="91" spans="2:4">
      <c r="B91" s="202"/>
      <c r="C91" s="111">
        <f>(4*4)</f>
        <v>16</v>
      </c>
      <c r="D91" s="97" t="s">
        <v>614</v>
      </c>
    </row>
    <row r="92" spans="2:4">
      <c r="B92" s="202"/>
      <c r="C92" s="111">
        <f>(7*3)</f>
        <v>21</v>
      </c>
      <c r="D92" s="97" t="s">
        <v>615</v>
      </c>
    </row>
    <row r="93" spans="2:4">
      <c r="B93" s="115"/>
      <c r="C93" s="114"/>
      <c r="D93" s="114"/>
    </row>
    <row r="94" spans="2:4">
      <c r="B94" s="115"/>
      <c r="C94" s="114"/>
      <c r="D94" s="114"/>
    </row>
    <row r="95" spans="2:4">
      <c r="B95" s="203" t="s">
        <v>113</v>
      </c>
      <c r="C95" s="203"/>
      <c r="D95" s="203"/>
    </row>
    <row r="97" spans="2:4">
      <c r="B97" s="110" t="s">
        <v>0</v>
      </c>
      <c r="C97" s="110" t="s">
        <v>430</v>
      </c>
      <c r="D97" s="110" t="s">
        <v>429</v>
      </c>
    </row>
    <row r="98" spans="2:4">
      <c r="B98" s="112" t="s">
        <v>21</v>
      </c>
      <c r="C98" s="100">
        <f>ESTRUTURA!H20+ESTRUTURA!N7</f>
        <v>83.67</v>
      </c>
      <c r="D98" s="97" t="s">
        <v>610</v>
      </c>
    </row>
    <row r="99" spans="2:4">
      <c r="B99" s="115"/>
      <c r="C99" s="114"/>
      <c r="D99" s="114"/>
    </row>
    <row r="100" spans="2:4">
      <c r="B100" s="110" t="s">
        <v>0</v>
      </c>
      <c r="C100" s="110" t="s">
        <v>430</v>
      </c>
      <c r="D100" s="110" t="s">
        <v>429</v>
      </c>
    </row>
    <row r="101" spans="2:4">
      <c r="B101" s="112" t="s">
        <v>115</v>
      </c>
      <c r="C101" s="100">
        <f>ESTRUTURA!G20+ESTRUTURA!N6</f>
        <v>5.0599999999999996</v>
      </c>
      <c r="D101" s="97" t="s">
        <v>610</v>
      </c>
    </row>
    <row r="102" spans="2:4">
      <c r="B102" s="115"/>
      <c r="C102" s="114"/>
      <c r="D102" s="114"/>
    </row>
    <row r="103" spans="2:4">
      <c r="B103" s="110" t="s">
        <v>0</v>
      </c>
      <c r="C103" s="110" t="s">
        <v>430</v>
      </c>
      <c r="D103" s="110" t="s">
        <v>429</v>
      </c>
    </row>
    <row r="104" spans="2:4">
      <c r="B104" s="112" t="s">
        <v>20</v>
      </c>
      <c r="C104" s="100">
        <f>ESTRUTURA!I20+ESTRUTURA!N8</f>
        <v>311.22000000000003</v>
      </c>
      <c r="D104" s="97" t="s">
        <v>610</v>
      </c>
    </row>
    <row r="105" spans="2:4">
      <c r="B105" s="115"/>
      <c r="C105" s="114"/>
      <c r="D105" s="114"/>
    </row>
    <row r="106" spans="2:4">
      <c r="B106" s="110" t="s">
        <v>0</v>
      </c>
      <c r="C106" s="110" t="s">
        <v>430</v>
      </c>
      <c r="D106" s="110" t="s">
        <v>429</v>
      </c>
    </row>
    <row r="107" spans="2:4">
      <c r="B107" s="112" t="s">
        <v>118</v>
      </c>
      <c r="C107" s="100">
        <f>ESTRUTURA!J20+ESTRUTURA!N9</f>
        <v>56.33</v>
      </c>
      <c r="D107" s="97" t="s">
        <v>610</v>
      </c>
    </row>
    <row r="108" spans="2:4">
      <c r="B108" s="115"/>
      <c r="C108" s="114"/>
      <c r="D108" s="114"/>
    </row>
    <row r="109" spans="2:4">
      <c r="B109" s="110" t="s">
        <v>0</v>
      </c>
      <c r="C109" s="110" t="s">
        <v>430</v>
      </c>
      <c r="D109" s="110" t="s">
        <v>429</v>
      </c>
    </row>
    <row r="110" spans="2:4">
      <c r="B110" s="112" t="s">
        <v>281</v>
      </c>
      <c r="C110" s="100">
        <v>31.75</v>
      </c>
      <c r="D110" s="97" t="s">
        <v>611</v>
      </c>
    </row>
    <row r="111" spans="2:4">
      <c r="B111" s="115"/>
      <c r="C111" s="114"/>
      <c r="D111" s="114"/>
    </row>
    <row r="112" spans="2:4">
      <c r="B112" s="115"/>
      <c r="C112" s="114"/>
      <c r="D112" s="114"/>
    </row>
    <row r="113" spans="2:4">
      <c r="B113" s="203" t="s">
        <v>478</v>
      </c>
      <c r="C113" s="203"/>
      <c r="D113" s="203"/>
    </row>
    <row r="115" spans="2:4">
      <c r="B115" s="110" t="s">
        <v>0</v>
      </c>
      <c r="C115" s="110" t="s">
        <v>430</v>
      </c>
      <c r="D115" s="110" t="s">
        <v>429</v>
      </c>
    </row>
    <row r="116" spans="2:4">
      <c r="B116" s="202" t="s">
        <v>22</v>
      </c>
      <c r="C116" s="118">
        <f>9.72-0.53-1.8*0.5-0.6*0.6</f>
        <v>7.9300000000000006</v>
      </c>
      <c r="D116" s="97" t="s">
        <v>457</v>
      </c>
    </row>
    <row r="117" spans="2:4">
      <c r="B117" s="202"/>
      <c r="C117" s="118">
        <f>0.45*2.2</f>
        <v>0.9900000000000001</v>
      </c>
      <c r="D117" s="113" t="s">
        <v>456</v>
      </c>
    </row>
    <row r="118" spans="2:4">
      <c r="B118" s="202"/>
      <c r="C118" s="118">
        <f>1.1*2.1</f>
        <v>2.3100000000000005</v>
      </c>
      <c r="D118" s="113" t="s">
        <v>455</v>
      </c>
    </row>
    <row r="119" spans="2:4">
      <c r="B119" s="202"/>
      <c r="C119" s="123">
        <f>30*0.5</f>
        <v>15</v>
      </c>
      <c r="D119" s="113" t="s">
        <v>454</v>
      </c>
    </row>
    <row r="120" spans="2:4">
      <c r="B120" s="202"/>
      <c r="C120" s="123">
        <f>2*2.6</f>
        <v>5.2</v>
      </c>
      <c r="D120" s="113" t="s">
        <v>453</v>
      </c>
    </row>
    <row r="121" spans="2:4">
      <c r="B121" s="202"/>
      <c r="C121" s="99">
        <f>(3.65*4.4)+(3.18*4.4)+(3.12*3.35-0.8*2.1)+(14*4.4-0.8*2.1-3*2*1)+(14*4.4)</f>
        <v>154.34400000000002</v>
      </c>
      <c r="D121" s="97" t="s">
        <v>567</v>
      </c>
    </row>
    <row r="122" spans="2:4">
      <c r="B122" s="202"/>
      <c r="C122" s="99">
        <f>(8.94*3.2-2*2*1-0.8*2.1)</f>
        <v>22.928000000000001</v>
      </c>
      <c r="D122" s="97" t="s">
        <v>568</v>
      </c>
    </row>
    <row r="123" spans="2:4">
      <c r="B123" s="202"/>
      <c r="C123" s="99">
        <f>1.5*2.2</f>
        <v>3.3000000000000003</v>
      </c>
      <c r="D123" s="97" t="s">
        <v>569</v>
      </c>
    </row>
    <row r="124" spans="2:4">
      <c r="B124" s="202"/>
      <c r="C124" s="99">
        <f>0.8*2.1</f>
        <v>1.6800000000000002</v>
      </c>
      <c r="D124" s="97" t="s">
        <v>570</v>
      </c>
    </row>
    <row r="125" spans="2:4">
      <c r="B125" s="202"/>
      <c r="C125" s="99">
        <f>((19.95-1.65)*1.5)</f>
        <v>27.450000000000003</v>
      </c>
      <c r="D125" s="97" t="s">
        <v>710</v>
      </c>
    </row>
    <row r="126" spans="2:4">
      <c r="B126" s="202"/>
      <c r="C126" s="99">
        <v>7.4</v>
      </c>
      <c r="D126" s="97" t="s">
        <v>709</v>
      </c>
    </row>
    <row r="127" spans="2:4">
      <c r="B127" s="116"/>
      <c r="C127" s="124"/>
      <c r="D127" s="115"/>
    </row>
    <row r="128" spans="2:4">
      <c r="B128" s="110" t="s">
        <v>0</v>
      </c>
      <c r="C128" s="110" t="s">
        <v>430</v>
      </c>
      <c r="D128" s="110" t="s">
        <v>429</v>
      </c>
    </row>
    <row r="129" spans="2:4">
      <c r="B129" s="127" t="s">
        <v>711</v>
      </c>
      <c r="C129" s="100">
        <f>1*0.8</f>
        <v>0.8</v>
      </c>
      <c r="D129" s="97" t="s">
        <v>713</v>
      </c>
    </row>
    <row r="130" spans="2:4">
      <c r="B130" s="119"/>
      <c r="C130" s="124"/>
      <c r="D130" s="115"/>
    </row>
    <row r="131" spans="2:4">
      <c r="B131" s="116"/>
      <c r="C131" s="124"/>
      <c r="D131" s="115"/>
    </row>
    <row r="132" spans="2:4">
      <c r="B132" s="203" t="s">
        <v>479</v>
      </c>
      <c r="C132" s="203"/>
      <c r="D132" s="203"/>
    </row>
    <row r="134" spans="2:4">
      <c r="B134" s="110" t="s">
        <v>0</v>
      </c>
      <c r="C134" s="110" t="s">
        <v>430</v>
      </c>
      <c r="D134" s="110" t="s">
        <v>429</v>
      </c>
    </row>
    <row r="135" spans="2:4">
      <c r="B135" s="105" t="s">
        <v>436</v>
      </c>
      <c r="C135" s="100">
        <v>2</v>
      </c>
      <c r="D135" s="97" t="s">
        <v>571</v>
      </c>
    </row>
    <row r="137" spans="2:4">
      <c r="B137" s="110" t="s">
        <v>0</v>
      </c>
      <c r="C137" s="110" t="s">
        <v>430</v>
      </c>
      <c r="D137" s="110" t="s">
        <v>429</v>
      </c>
    </row>
    <row r="138" spans="2:4">
      <c r="B138" s="105" t="s">
        <v>435</v>
      </c>
      <c r="C138" s="100">
        <v>14</v>
      </c>
      <c r="D138" s="97" t="s">
        <v>571</v>
      </c>
    </row>
    <row r="140" spans="2:4">
      <c r="B140" s="110" t="s">
        <v>0</v>
      </c>
      <c r="C140" s="110" t="s">
        <v>430</v>
      </c>
      <c r="D140" s="110" t="s">
        <v>429</v>
      </c>
    </row>
    <row r="141" spans="2:4">
      <c r="B141" s="105" t="s">
        <v>39</v>
      </c>
      <c r="C141" s="100">
        <f>SUM(C135:C135)+SUM(C138:C138)</f>
        <v>16</v>
      </c>
      <c r="D141" s="97" t="s">
        <v>572</v>
      </c>
    </row>
    <row r="142" spans="2:4">
      <c r="B142" s="116"/>
      <c r="C142" s="114"/>
      <c r="D142" s="115"/>
    </row>
    <row r="143" spans="2:4">
      <c r="B143" s="110" t="s">
        <v>0</v>
      </c>
      <c r="C143" s="110" t="s">
        <v>430</v>
      </c>
      <c r="D143" s="110" t="s">
        <v>429</v>
      </c>
    </row>
    <row r="144" spans="2:4">
      <c r="B144" s="105" t="s">
        <v>250</v>
      </c>
      <c r="C144" s="100">
        <v>2</v>
      </c>
      <c r="D144" s="97" t="s">
        <v>434</v>
      </c>
    </row>
    <row r="145" spans="2:4">
      <c r="B145" s="116"/>
      <c r="C145" s="114"/>
      <c r="D145" s="115"/>
    </row>
    <row r="146" spans="2:4">
      <c r="B146" s="110" t="s">
        <v>0</v>
      </c>
      <c r="C146" s="110" t="s">
        <v>430</v>
      </c>
      <c r="D146" s="110" t="s">
        <v>429</v>
      </c>
    </row>
    <row r="147" spans="2:4">
      <c r="B147" s="105" t="s">
        <v>438</v>
      </c>
      <c r="C147" s="111">
        <f>0.8*2.1*3</f>
        <v>5.0400000000000009</v>
      </c>
      <c r="D147" s="97" t="s">
        <v>571</v>
      </c>
    </row>
    <row r="148" spans="2:4">
      <c r="B148" s="116"/>
      <c r="C148" s="114"/>
      <c r="D148" s="115"/>
    </row>
    <row r="149" spans="2:4">
      <c r="B149" s="110" t="s">
        <v>0</v>
      </c>
      <c r="C149" s="110" t="s">
        <v>430</v>
      </c>
      <c r="D149" s="110" t="s">
        <v>429</v>
      </c>
    </row>
    <row r="150" spans="2:4">
      <c r="B150" s="105" t="s">
        <v>565</v>
      </c>
      <c r="C150" s="111">
        <v>1</v>
      </c>
      <c r="D150" s="97" t="s">
        <v>576</v>
      </c>
    </row>
    <row r="151" spans="2:4">
      <c r="B151" s="116"/>
      <c r="C151" s="114"/>
      <c r="D151" s="115"/>
    </row>
    <row r="152" spans="2:4">
      <c r="B152" s="110" t="s">
        <v>0</v>
      </c>
      <c r="C152" s="110" t="s">
        <v>430</v>
      </c>
      <c r="D152" s="110" t="s">
        <v>429</v>
      </c>
    </row>
    <row r="153" spans="2:4">
      <c r="B153" s="105" t="s">
        <v>78</v>
      </c>
      <c r="C153" s="111">
        <v>1</v>
      </c>
      <c r="D153" s="97" t="s">
        <v>575</v>
      </c>
    </row>
    <row r="154" spans="2:4">
      <c r="B154" s="116"/>
      <c r="C154" s="114"/>
      <c r="D154" s="115"/>
    </row>
    <row r="155" spans="2:4">
      <c r="B155" s="110" t="s">
        <v>0</v>
      </c>
      <c r="C155" s="110" t="s">
        <v>430</v>
      </c>
      <c r="D155" s="110" t="s">
        <v>429</v>
      </c>
    </row>
    <row r="156" spans="2:4">
      <c r="B156" s="105" t="s">
        <v>279</v>
      </c>
      <c r="C156" s="100">
        <f>C144</f>
        <v>2</v>
      </c>
      <c r="D156" s="97" t="s">
        <v>433</v>
      </c>
    </row>
    <row r="157" spans="2:4">
      <c r="B157" s="119"/>
      <c r="C157" s="114"/>
      <c r="D157" s="115"/>
    </row>
    <row r="158" spans="2:4">
      <c r="B158" s="110" t="s">
        <v>0</v>
      </c>
      <c r="C158" s="110" t="s">
        <v>430</v>
      </c>
      <c r="D158" s="110" t="s">
        <v>429</v>
      </c>
    </row>
    <row r="159" spans="2:4">
      <c r="B159" s="126" t="s">
        <v>650</v>
      </c>
      <c r="C159" s="100">
        <f>1.8*1.2</f>
        <v>2.16</v>
      </c>
      <c r="D159" s="97" t="s">
        <v>653</v>
      </c>
    </row>
    <row r="160" spans="2:4">
      <c r="B160" s="116"/>
      <c r="C160" s="114"/>
      <c r="D160" s="115"/>
    </row>
    <row r="161" spans="2:4">
      <c r="B161" s="110" t="s">
        <v>0</v>
      </c>
      <c r="C161" s="110" t="s">
        <v>430</v>
      </c>
      <c r="D161" s="110" t="s">
        <v>429</v>
      </c>
    </row>
    <row r="162" spans="2:4">
      <c r="B162" s="202" t="s">
        <v>483</v>
      </c>
      <c r="C162" s="100">
        <f>1.8*0.5</f>
        <v>0.9</v>
      </c>
      <c r="D162" s="97" t="s">
        <v>439</v>
      </c>
    </row>
    <row r="163" spans="2:4">
      <c r="B163" s="202"/>
      <c r="C163" s="100">
        <f>1.8*0.6</f>
        <v>1.08</v>
      </c>
      <c r="D163" s="97" t="s">
        <v>654</v>
      </c>
    </row>
    <row r="165" spans="2:4">
      <c r="B165" s="110" t="s">
        <v>0</v>
      </c>
      <c r="C165" s="110" t="s">
        <v>430</v>
      </c>
      <c r="D165" s="110" t="s">
        <v>429</v>
      </c>
    </row>
    <row r="166" spans="2:4">
      <c r="B166" s="202" t="s">
        <v>248</v>
      </c>
      <c r="C166" s="100">
        <f>5*2*1</f>
        <v>10</v>
      </c>
      <c r="D166" s="97" t="s">
        <v>573</v>
      </c>
    </row>
    <row r="167" spans="2:4">
      <c r="B167" s="202"/>
      <c r="C167" s="100">
        <f>2*2.1</f>
        <v>4.2</v>
      </c>
      <c r="D167" s="97" t="s">
        <v>574</v>
      </c>
    </row>
    <row r="168" spans="2:4">
      <c r="B168" s="202"/>
      <c r="C168" s="100">
        <f>1.5*1</f>
        <v>1.5</v>
      </c>
      <c r="D168" s="97" t="s">
        <v>718</v>
      </c>
    </row>
    <row r="169" spans="2:4">
      <c r="B169" s="116"/>
      <c r="C169" s="114"/>
      <c r="D169" s="115"/>
    </row>
    <row r="170" spans="2:4">
      <c r="B170" s="110" t="s">
        <v>0</v>
      </c>
      <c r="C170" s="110" t="s">
        <v>430</v>
      </c>
      <c r="D170" s="110" t="s">
        <v>429</v>
      </c>
    </row>
    <row r="171" spans="2:4">
      <c r="B171" s="105" t="s">
        <v>437</v>
      </c>
      <c r="C171" s="111">
        <f>0.8*2.1</f>
        <v>1.6800000000000002</v>
      </c>
      <c r="D171" s="97" t="s">
        <v>577</v>
      </c>
    </row>
    <row r="172" spans="2:4">
      <c r="B172" s="116"/>
      <c r="C172" s="114"/>
      <c r="D172" s="115"/>
    </row>
    <row r="173" spans="2:4">
      <c r="B173" s="110" t="s">
        <v>0</v>
      </c>
      <c r="C173" s="110" t="s">
        <v>430</v>
      </c>
      <c r="D173" s="110" t="s">
        <v>429</v>
      </c>
    </row>
    <row r="174" spans="2:4">
      <c r="B174" s="202" t="s">
        <v>446</v>
      </c>
      <c r="C174" s="100">
        <f>0.6*0.6</f>
        <v>0.36</v>
      </c>
      <c r="D174" s="100" t="s">
        <v>445</v>
      </c>
    </row>
    <row r="175" spans="2:4">
      <c r="B175" s="202"/>
      <c r="C175" s="100">
        <f>0.6*0.6</f>
        <v>0.36</v>
      </c>
      <c r="D175" s="100" t="s">
        <v>444</v>
      </c>
    </row>
    <row r="176" spans="2:4">
      <c r="B176" s="202"/>
      <c r="C176" s="100">
        <f>0.6*0.6</f>
        <v>0.36</v>
      </c>
      <c r="D176" s="100" t="s">
        <v>443</v>
      </c>
    </row>
    <row r="177" spans="2:4">
      <c r="B177" s="116"/>
      <c r="C177" s="114"/>
      <c r="D177" s="115"/>
    </row>
    <row r="178" spans="2:4">
      <c r="B178" s="110" t="s">
        <v>0</v>
      </c>
      <c r="C178" s="110" t="s">
        <v>430</v>
      </c>
      <c r="D178" s="110" t="s">
        <v>429</v>
      </c>
    </row>
    <row r="179" spans="2:4">
      <c r="B179" s="97" t="s">
        <v>442</v>
      </c>
      <c r="C179" s="100">
        <f>1.2*1.2</f>
        <v>1.44</v>
      </c>
      <c r="D179" s="100" t="s">
        <v>441</v>
      </c>
    </row>
    <row r="180" spans="2:4">
      <c r="B180" s="116"/>
      <c r="C180" s="114"/>
      <c r="D180" s="115"/>
    </row>
    <row r="181" spans="2:4">
      <c r="B181" s="110" t="s">
        <v>0</v>
      </c>
      <c r="C181" s="110" t="s">
        <v>430</v>
      </c>
      <c r="D181" s="110" t="s">
        <v>429</v>
      </c>
    </row>
    <row r="182" spans="2:4">
      <c r="B182" s="97" t="s">
        <v>485</v>
      </c>
      <c r="C182" s="100">
        <f>C162</f>
        <v>0.9</v>
      </c>
      <c r="D182" s="100" t="s">
        <v>578</v>
      </c>
    </row>
    <row r="183" spans="2:4">
      <c r="B183" s="115"/>
      <c r="C183" s="114"/>
      <c r="D183" s="114"/>
    </row>
    <row r="184" spans="2:4">
      <c r="B184" s="110" t="s">
        <v>0</v>
      </c>
      <c r="C184" s="110" t="s">
        <v>430</v>
      </c>
      <c r="D184" s="110" t="s">
        <v>429</v>
      </c>
    </row>
    <row r="185" spans="2:4">
      <c r="B185" s="97" t="s">
        <v>715</v>
      </c>
      <c r="C185" s="100">
        <f>2.3*2</f>
        <v>4.5999999999999996</v>
      </c>
      <c r="D185" s="100" t="s">
        <v>717</v>
      </c>
    </row>
    <row r="186" spans="2:4">
      <c r="B186" s="116"/>
      <c r="C186" s="114"/>
      <c r="D186" s="115"/>
    </row>
    <row r="187" spans="2:4">
      <c r="B187" s="110" t="s">
        <v>0</v>
      </c>
      <c r="C187" s="110" t="s">
        <v>430</v>
      </c>
      <c r="D187" s="110" t="s">
        <v>429</v>
      </c>
    </row>
    <row r="188" spans="2:4">
      <c r="B188" s="202" t="s">
        <v>440</v>
      </c>
      <c r="C188" s="111">
        <f>0.9*2.1</f>
        <v>1.8900000000000001</v>
      </c>
      <c r="D188" s="100" t="s">
        <v>579</v>
      </c>
    </row>
    <row r="189" spans="2:4">
      <c r="B189" s="202"/>
      <c r="C189" s="111">
        <f>1*2.1</f>
        <v>2.1</v>
      </c>
      <c r="D189" s="100" t="s">
        <v>579</v>
      </c>
    </row>
    <row r="190" spans="2:4">
      <c r="B190" s="116"/>
      <c r="C190" s="114"/>
      <c r="D190" s="115"/>
    </row>
    <row r="191" spans="2:4">
      <c r="B191" s="110" t="s">
        <v>0</v>
      </c>
      <c r="C191" s="110" t="s">
        <v>430</v>
      </c>
      <c r="D191" s="110" t="s">
        <v>429</v>
      </c>
    </row>
    <row r="192" spans="2:4">
      <c r="B192" s="97" t="s">
        <v>514</v>
      </c>
      <c r="C192" s="100">
        <f>1.5*2</f>
        <v>3</v>
      </c>
      <c r="D192" s="100" t="s">
        <v>580</v>
      </c>
    </row>
    <row r="193" spans="2:4">
      <c r="B193" s="116"/>
      <c r="C193" s="114"/>
      <c r="D193" s="115"/>
    </row>
    <row r="194" spans="2:4">
      <c r="B194" s="116"/>
      <c r="C194" s="114"/>
      <c r="D194" s="115"/>
    </row>
    <row r="195" spans="2:4">
      <c r="B195" s="203" t="s">
        <v>480</v>
      </c>
      <c r="C195" s="203"/>
      <c r="D195" s="203"/>
    </row>
    <row r="196" spans="2:4">
      <c r="B196" s="116"/>
      <c r="C196" s="114"/>
      <c r="D196" s="115"/>
    </row>
    <row r="197" spans="2:4">
      <c r="B197" s="110" t="s">
        <v>0</v>
      </c>
      <c r="C197" s="110" t="s">
        <v>430</v>
      </c>
      <c r="D197" s="110" t="s">
        <v>429</v>
      </c>
    </row>
    <row r="198" spans="2:4">
      <c r="B198" s="202" t="s">
        <v>30</v>
      </c>
      <c r="C198" s="100">
        <f>(13*2)*2</f>
        <v>52</v>
      </c>
      <c r="D198" s="97" t="s">
        <v>582</v>
      </c>
    </row>
    <row r="199" spans="2:4">
      <c r="B199" s="202"/>
      <c r="C199" s="100">
        <f>(4*2)*2</f>
        <v>16</v>
      </c>
      <c r="D199" s="97" t="s">
        <v>583</v>
      </c>
    </row>
    <row r="200" spans="2:4">
      <c r="B200" s="202"/>
      <c r="C200" s="100">
        <f>4*2</f>
        <v>8</v>
      </c>
      <c r="D200" s="97" t="s">
        <v>581</v>
      </c>
    </row>
    <row r="201" spans="2:4">
      <c r="B201" s="116"/>
      <c r="C201" s="114"/>
      <c r="D201" s="115"/>
    </row>
    <row r="202" spans="2:4">
      <c r="B202" s="110" t="s">
        <v>0</v>
      </c>
      <c r="C202" s="110" t="s">
        <v>430</v>
      </c>
      <c r="D202" s="110" t="s">
        <v>429</v>
      </c>
    </row>
    <row r="203" spans="2:4">
      <c r="B203" s="105" t="s">
        <v>432</v>
      </c>
      <c r="C203" s="100">
        <f>(19.95-1.65)</f>
        <v>18.3</v>
      </c>
      <c r="D203" s="97" t="s">
        <v>584</v>
      </c>
    </row>
    <row r="204" spans="2:4">
      <c r="B204" s="116"/>
      <c r="C204" s="124"/>
      <c r="D204" s="115"/>
    </row>
    <row r="205" spans="2:4">
      <c r="B205" s="116"/>
      <c r="C205" s="124"/>
      <c r="D205" s="115"/>
    </row>
    <row r="206" spans="2:4">
      <c r="B206" s="203" t="s">
        <v>46</v>
      </c>
      <c r="C206" s="203"/>
      <c r="D206" s="203"/>
    </row>
    <row r="207" spans="2:4">
      <c r="B207" s="119"/>
      <c r="C207" s="114"/>
      <c r="D207" s="115"/>
    </row>
    <row r="208" spans="2:4">
      <c r="B208" s="110" t="s">
        <v>0</v>
      </c>
      <c r="C208" s="110" t="s">
        <v>430</v>
      </c>
      <c r="D208" s="110" t="s">
        <v>429</v>
      </c>
    </row>
    <row r="209" spans="2:4">
      <c r="B209" s="202" t="s">
        <v>32</v>
      </c>
      <c r="C209" s="100">
        <v>0.8</v>
      </c>
      <c r="D209" s="97" t="s">
        <v>588</v>
      </c>
    </row>
    <row r="210" spans="2:4">
      <c r="B210" s="202"/>
      <c r="C210" s="100">
        <v>0.8</v>
      </c>
      <c r="D210" s="97" t="s">
        <v>589</v>
      </c>
    </row>
    <row r="211" spans="2:4">
      <c r="B211" s="202"/>
      <c r="C211" s="100">
        <v>0.8</v>
      </c>
      <c r="D211" s="97" t="s">
        <v>590</v>
      </c>
    </row>
    <row r="212" spans="2:4">
      <c r="B212" s="202"/>
      <c r="C212" s="100">
        <v>0.8</v>
      </c>
      <c r="D212" s="97" t="s">
        <v>591</v>
      </c>
    </row>
    <row r="213" spans="2:4">
      <c r="B213" s="202"/>
      <c r="C213" s="100">
        <v>0.8</v>
      </c>
      <c r="D213" s="97" t="s">
        <v>592</v>
      </c>
    </row>
    <row r="214" spans="2:4">
      <c r="B214" s="202"/>
      <c r="C214" s="100">
        <f>(5*2)</f>
        <v>10</v>
      </c>
      <c r="D214" s="97" t="s">
        <v>585</v>
      </c>
    </row>
    <row r="215" spans="2:4">
      <c r="B215" s="202"/>
      <c r="C215" s="100">
        <f>(1.8)</f>
        <v>1.8</v>
      </c>
      <c r="D215" s="97" t="s">
        <v>586</v>
      </c>
    </row>
    <row r="216" spans="2:4">
      <c r="B216" s="202"/>
      <c r="C216" s="100">
        <f>(2)</f>
        <v>2</v>
      </c>
      <c r="D216" s="97" t="s">
        <v>587</v>
      </c>
    </row>
    <row r="217" spans="2:4">
      <c r="B217" s="119"/>
      <c r="C217" s="114"/>
      <c r="D217" s="115"/>
    </row>
    <row r="218" spans="2:4">
      <c r="B218" s="110" t="s">
        <v>0</v>
      </c>
      <c r="C218" s="110" t="s">
        <v>430</v>
      </c>
      <c r="D218" s="110" t="s">
        <v>429</v>
      </c>
    </row>
    <row r="219" spans="2:4">
      <c r="B219" s="202" t="s">
        <v>31</v>
      </c>
      <c r="C219" s="100">
        <f>0.9</f>
        <v>0.9</v>
      </c>
      <c r="D219" s="97" t="s">
        <v>619</v>
      </c>
    </row>
    <row r="220" spans="2:4">
      <c r="B220" s="202"/>
      <c r="C220" s="100">
        <f>0.6</f>
        <v>0.6</v>
      </c>
      <c r="D220" s="97" t="s">
        <v>620</v>
      </c>
    </row>
    <row r="221" spans="2:4">
      <c r="B221" s="202"/>
      <c r="C221" s="100">
        <f>1.5*0.6</f>
        <v>0.89999999999999991</v>
      </c>
      <c r="D221" s="97" t="s">
        <v>655</v>
      </c>
    </row>
    <row r="222" spans="2:4">
      <c r="B222" s="202"/>
      <c r="C222" s="100">
        <f>2*0.7</f>
        <v>1.4</v>
      </c>
      <c r="D222" s="97" t="s">
        <v>621</v>
      </c>
    </row>
    <row r="223" spans="2:4">
      <c r="B223" s="202"/>
      <c r="C223" s="100">
        <f>2*0.5</f>
        <v>1</v>
      </c>
      <c r="D223" s="97" t="s">
        <v>714</v>
      </c>
    </row>
    <row r="224" spans="2:4">
      <c r="B224" s="202"/>
      <c r="C224" s="100">
        <f>4.85*0.8</f>
        <v>3.88</v>
      </c>
      <c r="D224" s="97" t="s">
        <v>622</v>
      </c>
    </row>
    <row r="225" spans="2:4">
      <c r="B225" s="202"/>
      <c r="C225" s="100">
        <v>0.7</v>
      </c>
      <c r="D225" s="97" t="s">
        <v>730</v>
      </c>
    </row>
    <row r="226" spans="2:4">
      <c r="B226" s="116"/>
      <c r="C226" s="124"/>
      <c r="D226" s="115"/>
    </row>
    <row r="227" spans="2:4">
      <c r="B227" s="203" t="s">
        <v>47</v>
      </c>
      <c r="C227" s="203"/>
      <c r="D227" s="203"/>
    </row>
    <row r="228" spans="2:4">
      <c r="B228" s="119"/>
      <c r="C228" s="114"/>
      <c r="D228" s="115"/>
    </row>
    <row r="229" spans="2:4">
      <c r="B229" s="110" t="s">
        <v>0</v>
      </c>
      <c r="C229" s="110" t="s">
        <v>430</v>
      </c>
      <c r="D229" s="110" t="s">
        <v>429</v>
      </c>
    </row>
    <row r="230" spans="2:4" ht="12" customHeight="1">
      <c r="B230" s="204" t="s">
        <v>593</v>
      </c>
      <c r="C230" s="204"/>
      <c r="D230" s="204"/>
    </row>
    <row r="231" spans="2:4">
      <c r="B231" s="116"/>
      <c r="C231" s="124"/>
      <c r="D231" s="115"/>
    </row>
    <row r="232" spans="2:4">
      <c r="B232" s="116"/>
      <c r="C232" s="124"/>
      <c r="D232" s="115"/>
    </row>
    <row r="233" spans="2:4">
      <c r="B233" s="203" t="s">
        <v>49</v>
      </c>
      <c r="C233" s="203"/>
      <c r="D233" s="203"/>
    </row>
    <row r="234" spans="2:4">
      <c r="B234" s="119"/>
      <c r="C234" s="114"/>
      <c r="D234" s="115"/>
    </row>
    <row r="235" spans="2:4">
      <c r="B235" s="110" t="s">
        <v>0</v>
      </c>
      <c r="C235" s="110" t="s">
        <v>430</v>
      </c>
      <c r="D235" s="110" t="s">
        <v>429</v>
      </c>
    </row>
    <row r="236" spans="2:4">
      <c r="B236" s="202" t="s">
        <v>81</v>
      </c>
      <c r="C236" s="100">
        <v>427.36</v>
      </c>
      <c r="D236" s="97" t="s">
        <v>594</v>
      </c>
    </row>
    <row r="237" spans="2:4">
      <c r="B237" s="202"/>
      <c r="C237" s="100">
        <f>13.85*2.2/2</f>
        <v>15.235000000000001</v>
      </c>
      <c r="D237" s="97" t="s">
        <v>702</v>
      </c>
    </row>
    <row r="238" spans="2:4">
      <c r="B238" s="202"/>
      <c r="C238" s="100">
        <v>29.52</v>
      </c>
      <c r="D238" s="97" t="s">
        <v>703</v>
      </c>
    </row>
    <row r="239" spans="2:4">
      <c r="B239" s="202"/>
      <c r="C239" s="100">
        <v>18.2</v>
      </c>
      <c r="D239" s="97" t="s">
        <v>704</v>
      </c>
    </row>
    <row r="240" spans="2:4">
      <c r="B240" s="202"/>
      <c r="C240" s="100">
        <v>24.33</v>
      </c>
      <c r="D240" s="97" t="s">
        <v>705</v>
      </c>
    </row>
    <row r="241" spans="2:4">
      <c r="B241" s="116"/>
      <c r="C241" s="124"/>
      <c r="D241" s="115"/>
    </row>
    <row r="242" spans="2:4">
      <c r="B242" s="110" t="s">
        <v>0</v>
      </c>
      <c r="C242" s="110" t="s">
        <v>430</v>
      </c>
      <c r="D242" s="110" t="s">
        <v>429</v>
      </c>
    </row>
    <row r="243" spans="2:4">
      <c r="B243" s="112" t="s">
        <v>66</v>
      </c>
      <c r="C243" s="100">
        <f>SUM(C236:C240)</f>
        <v>514.64499999999998</v>
      </c>
      <c r="D243" s="97" t="s">
        <v>706</v>
      </c>
    </row>
    <row r="244" spans="2:4">
      <c r="B244" s="116"/>
      <c r="C244" s="124"/>
      <c r="D244" s="115"/>
    </row>
    <row r="245" spans="2:4">
      <c r="B245" s="110" t="s">
        <v>0</v>
      </c>
      <c r="C245" s="110" t="s">
        <v>430</v>
      </c>
      <c r="D245" s="110" t="s">
        <v>429</v>
      </c>
    </row>
    <row r="246" spans="2:4">
      <c r="B246" s="112" t="s">
        <v>67</v>
      </c>
      <c r="C246" s="100">
        <v>459.46</v>
      </c>
      <c r="D246" s="97" t="s">
        <v>595</v>
      </c>
    </row>
    <row r="247" spans="2:4">
      <c r="B247" s="116"/>
      <c r="C247" s="124"/>
      <c r="D247" s="115"/>
    </row>
    <row r="248" spans="2:4">
      <c r="B248" s="110" t="s">
        <v>0</v>
      </c>
      <c r="C248" s="110" t="s">
        <v>430</v>
      </c>
      <c r="D248" s="110" t="s">
        <v>429</v>
      </c>
    </row>
    <row r="249" spans="2:4">
      <c r="B249" s="202">
        <v>87273</v>
      </c>
      <c r="C249" s="100">
        <f>(21.74*2.8-2*2*1-0.8*2.1)</f>
        <v>55.191999999999993</v>
      </c>
      <c r="D249" s="97" t="s">
        <v>596</v>
      </c>
    </row>
    <row r="250" spans="2:4">
      <c r="B250" s="202"/>
      <c r="C250" s="100">
        <f>(11.07*3-2*1.12*0.52-0.8*2.1)</f>
        <v>30.365200000000002</v>
      </c>
      <c r="D250" s="97" t="s">
        <v>597</v>
      </c>
    </row>
    <row r="251" spans="2:4">
      <c r="B251" s="202"/>
      <c r="C251" s="100">
        <f>(14.5*3-0.8*2.1-1.2*1.2)</f>
        <v>40.380000000000003</v>
      </c>
      <c r="D251" s="97" t="s">
        <v>598</v>
      </c>
    </row>
    <row r="252" spans="2:4">
      <c r="B252" s="119"/>
      <c r="C252" s="114"/>
      <c r="D252" s="115"/>
    </row>
    <row r="253" spans="2:4">
      <c r="B253" s="116"/>
      <c r="C253" s="124"/>
      <c r="D253" s="115"/>
    </row>
    <row r="254" spans="2:4">
      <c r="B254" s="203" t="s">
        <v>43</v>
      </c>
      <c r="C254" s="203"/>
      <c r="D254" s="203"/>
    </row>
    <row r="255" spans="2:4">
      <c r="B255" s="119"/>
      <c r="C255" s="114"/>
      <c r="D255" s="115"/>
    </row>
    <row r="256" spans="2:4">
      <c r="B256" s="110" t="s">
        <v>0</v>
      </c>
      <c r="C256" s="110" t="s">
        <v>430</v>
      </c>
      <c r="D256" s="110" t="s">
        <v>429</v>
      </c>
    </row>
    <row r="257" spans="2:4">
      <c r="B257" s="202" t="s">
        <v>45</v>
      </c>
      <c r="C257" s="111">
        <f>FUNDAÇÃO!C12+FUNDAÇÃO!C24</f>
        <v>29.589999999999996</v>
      </c>
      <c r="D257" s="97" t="s">
        <v>599</v>
      </c>
    </row>
    <row r="258" spans="2:4">
      <c r="B258" s="202"/>
      <c r="C258" s="111">
        <f>13.85*2.2/2</f>
        <v>15.235000000000001</v>
      </c>
      <c r="D258" s="97" t="s">
        <v>698</v>
      </c>
    </row>
    <row r="259" spans="2:4">
      <c r="B259" s="202"/>
      <c r="C259" s="100">
        <f>17.55*1.5</f>
        <v>26.325000000000003</v>
      </c>
      <c r="D259" s="97" t="s">
        <v>828</v>
      </c>
    </row>
    <row r="260" spans="2:4">
      <c r="B260" s="116"/>
      <c r="C260" s="124"/>
      <c r="D260" s="115"/>
    </row>
    <row r="261" spans="2:4">
      <c r="B261" s="116"/>
      <c r="C261" s="124"/>
      <c r="D261" s="115"/>
    </row>
    <row r="262" spans="2:4">
      <c r="B262" s="203" t="s">
        <v>71</v>
      </c>
      <c r="C262" s="203"/>
      <c r="D262" s="203"/>
    </row>
    <row r="263" spans="2:4">
      <c r="B263" s="119"/>
      <c r="C263" s="114"/>
      <c r="D263" s="115"/>
    </row>
    <row r="264" spans="2:4">
      <c r="B264" s="110" t="s">
        <v>0</v>
      </c>
      <c r="C264" s="110" t="s">
        <v>430</v>
      </c>
      <c r="D264" s="110" t="s">
        <v>429</v>
      </c>
    </row>
    <row r="265" spans="2:4">
      <c r="B265" s="112" t="s">
        <v>380</v>
      </c>
      <c r="C265" s="100">
        <f>1.7*2.25</f>
        <v>3.8249999999999997</v>
      </c>
      <c r="D265" s="97" t="s">
        <v>451</v>
      </c>
    </row>
    <row r="266" spans="2:4">
      <c r="B266" s="116"/>
      <c r="C266" s="124"/>
      <c r="D266" s="115"/>
    </row>
    <row r="267" spans="2:4">
      <c r="B267" s="110" t="s">
        <v>0</v>
      </c>
      <c r="C267" s="110" t="s">
        <v>430</v>
      </c>
      <c r="D267" s="110" t="s">
        <v>429</v>
      </c>
    </row>
    <row r="268" spans="2:4">
      <c r="B268" s="112" t="s">
        <v>243</v>
      </c>
      <c r="C268" s="100">
        <v>56</v>
      </c>
      <c r="D268" s="97" t="s">
        <v>600</v>
      </c>
    </row>
    <row r="269" spans="2:4">
      <c r="B269" s="119"/>
      <c r="C269" s="114"/>
      <c r="D269" s="115"/>
    </row>
    <row r="270" spans="2:4">
      <c r="B270" s="110" t="s">
        <v>0</v>
      </c>
      <c r="C270" s="110" t="s">
        <v>430</v>
      </c>
      <c r="D270" s="110" t="s">
        <v>429</v>
      </c>
    </row>
    <row r="271" spans="2:4">
      <c r="B271" s="112" t="s">
        <v>378</v>
      </c>
      <c r="C271" s="100">
        <v>560</v>
      </c>
      <c r="D271" s="97" t="s">
        <v>604</v>
      </c>
    </row>
    <row r="272" spans="2:4">
      <c r="B272" s="116"/>
      <c r="C272" s="124"/>
      <c r="D272" s="115"/>
    </row>
    <row r="273" spans="2:4">
      <c r="B273" s="110" t="s">
        <v>0</v>
      </c>
      <c r="C273" s="110" t="s">
        <v>430</v>
      </c>
      <c r="D273" s="110" t="s">
        <v>429</v>
      </c>
    </row>
    <row r="274" spans="2:4">
      <c r="B274" s="112" t="s">
        <v>1048</v>
      </c>
      <c r="C274" s="100">
        <v>66</v>
      </c>
      <c r="D274" s="97" t="s">
        <v>601</v>
      </c>
    </row>
    <row r="275" spans="2:4">
      <c r="B275" s="116"/>
      <c r="C275" s="124"/>
      <c r="D275" s="115"/>
    </row>
    <row r="276" spans="2:4">
      <c r="B276" s="110" t="s">
        <v>0</v>
      </c>
      <c r="C276" s="110" t="s">
        <v>430</v>
      </c>
      <c r="D276" s="110" t="s">
        <v>429</v>
      </c>
    </row>
    <row r="277" spans="2:4">
      <c r="B277" s="202" t="s">
        <v>376</v>
      </c>
      <c r="C277" s="111">
        <v>16</v>
      </c>
      <c r="D277" s="97" t="s">
        <v>602</v>
      </c>
    </row>
    <row r="278" spans="2:4">
      <c r="B278" s="202"/>
      <c r="C278" s="100">
        <f>4*1.5</f>
        <v>6</v>
      </c>
      <c r="D278" s="97" t="s">
        <v>652</v>
      </c>
    </row>
    <row r="279" spans="2:4">
      <c r="B279" s="116"/>
      <c r="C279" s="124"/>
      <c r="D279" s="115"/>
    </row>
    <row r="280" spans="2:4">
      <c r="B280" s="110" t="s">
        <v>0</v>
      </c>
      <c r="C280" s="110" t="s">
        <v>430</v>
      </c>
      <c r="D280" s="110" t="s">
        <v>429</v>
      </c>
    </row>
    <row r="281" spans="2:4">
      <c r="B281" s="112" t="s">
        <v>371</v>
      </c>
      <c r="C281" s="100">
        <v>60</v>
      </c>
      <c r="D281" s="97" t="s">
        <v>603</v>
      </c>
    </row>
    <row r="283" spans="2:4">
      <c r="B283" s="110" t="s">
        <v>0</v>
      </c>
      <c r="C283" s="110" t="s">
        <v>430</v>
      </c>
      <c r="D283" s="110" t="s">
        <v>429</v>
      </c>
    </row>
    <row r="284" spans="2:4">
      <c r="B284" s="97" t="s">
        <v>378</v>
      </c>
      <c r="C284" s="100">
        <f>3.83*8</f>
        <v>30.64</v>
      </c>
      <c r="D284" s="100" t="s">
        <v>452</v>
      </c>
    </row>
    <row r="286" spans="2:4">
      <c r="B286" s="110" t="s">
        <v>0</v>
      </c>
      <c r="C286" s="110" t="s">
        <v>430</v>
      </c>
      <c r="D286" s="110" t="s">
        <v>429</v>
      </c>
    </row>
    <row r="287" spans="2:4">
      <c r="B287" s="202">
        <v>94231</v>
      </c>
      <c r="C287" s="100">
        <f>(21.07*2)</f>
        <v>42.14</v>
      </c>
      <c r="D287" s="100" t="s">
        <v>607</v>
      </c>
    </row>
    <row r="288" spans="2:4">
      <c r="B288" s="202"/>
      <c r="C288" s="100">
        <f>(1.7+2.4)*2</f>
        <v>8.1999999999999993</v>
      </c>
      <c r="D288" s="100" t="s">
        <v>606</v>
      </c>
    </row>
    <row r="289" spans="2:4">
      <c r="B289" s="202"/>
      <c r="C289" s="100">
        <f>(56.56-1.5-0.8)</f>
        <v>54.260000000000005</v>
      </c>
      <c r="D289" s="100" t="s">
        <v>605</v>
      </c>
    </row>
    <row r="290" spans="2:4">
      <c r="B290" s="115"/>
      <c r="C290" s="114"/>
      <c r="D290" s="114"/>
    </row>
    <row r="291" spans="2:4">
      <c r="B291" s="110" t="s">
        <v>0</v>
      </c>
      <c r="C291" s="110" t="s">
        <v>430</v>
      </c>
      <c r="D291" s="110" t="s">
        <v>429</v>
      </c>
    </row>
    <row r="292" spans="2:4">
      <c r="B292" s="202" t="s">
        <v>75</v>
      </c>
      <c r="C292" s="100">
        <f>14.58</f>
        <v>14.58</v>
      </c>
      <c r="D292" s="100" t="s">
        <v>608</v>
      </c>
    </row>
    <row r="293" spans="2:4">
      <c r="B293" s="202"/>
      <c r="C293" s="100">
        <f>47.13</f>
        <v>47.13</v>
      </c>
      <c r="D293" s="100" t="s">
        <v>609</v>
      </c>
    </row>
    <row r="294" spans="2:4">
      <c r="B294" s="202"/>
      <c r="C294" s="100">
        <f>55.53</f>
        <v>55.53</v>
      </c>
      <c r="D294" s="100" t="s">
        <v>609</v>
      </c>
    </row>
    <row r="295" spans="2:4">
      <c r="B295" s="115"/>
      <c r="C295" s="114"/>
      <c r="D295" s="114"/>
    </row>
    <row r="296" spans="2:4">
      <c r="B296" s="115"/>
      <c r="C296" s="114"/>
      <c r="D296" s="114"/>
    </row>
    <row r="297" spans="2:4">
      <c r="B297" s="115"/>
      <c r="C297" s="114"/>
      <c r="D297" s="114"/>
    </row>
    <row r="298" spans="2:4">
      <c r="B298" s="203" t="s">
        <v>131</v>
      </c>
      <c r="C298" s="203"/>
      <c r="D298" s="203"/>
    </row>
    <row r="300" spans="2:4">
      <c r="B300" s="110" t="s">
        <v>0</v>
      </c>
      <c r="C300" s="110" t="s">
        <v>430</v>
      </c>
      <c r="D300" s="110" t="s">
        <v>429</v>
      </c>
    </row>
    <row r="301" spans="2:4">
      <c r="B301" s="205" t="s">
        <v>373</v>
      </c>
      <c r="C301" s="102">
        <f>1.6*2.2</f>
        <v>3.5200000000000005</v>
      </c>
      <c r="D301" s="113" t="s">
        <v>450</v>
      </c>
    </row>
    <row r="302" spans="2:4">
      <c r="B302" s="207"/>
      <c r="C302" s="102">
        <f>1.6*0.7</f>
        <v>1.1199999999999999</v>
      </c>
      <c r="D302" s="113" t="s">
        <v>449</v>
      </c>
    </row>
    <row r="303" spans="2:4">
      <c r="B303" s="207"/>
      <c r="C303" s="99">
        <f>2.6*0.5</f>
        <v>1.3</v>
      </c>
      <c r="D303" s="113" t="s">
        <v>448</v>
      </c>
    </row>
    <row r="304" spans="2:4">
      <c r="B304" s="206"/>
      <c r="C304" s="99">
        <f>18.2+24.33</f>
        <v>42.53</v>
      </c>
      <c r="D304" s="113" t="s">
        <v>447</v>
      </c>
    </row>
    <row r="307" spans="2:4">
      <c r="B307" s="203" t="s">
        <v>38</v>
      </c>
      <c r="C307" s="203"/>
      <c r="D307" s="203"/>
    </row>
    <row r="309" spans="2:4">
      <c r="B309" s="110" t="s">
        <v>0</v>
      </c>
      <c r="C309" s="110" t="s">
        <v>430</v>
      </c>
      <c r="D309" s="110" t="s">
        <v>429</v>
      </c>
    </row>
    <row r="310" spans="2:4">
      <c r="B310" s="202">
        <v>95469</v>
      </c>
      <c r="C310" s="118">
        <v>1</v>
      </c>
      <c r="D310" s="113" t="s">
        <v>625</v>
      </c>
    </row>
    <row r="311" spans="2:4">
      <c r="B311" s="202"/>
      <c r="C311" s="118">
        <v>1</v>
      </c>
      <c r="D311" s="113" t="s">
        <v>626</v>
      </c>
    </row>
    <row r="312" spans="2:4">
      <c r="B312" s="202"/>
      <c r="C312" s="118">
        <v>1</v>
      </c>
      <c r="D312" s="113" t="s">
        <v>719</v>
      </c>
    </row>
    <row r="313" spans="2:4">
      <c r="B313" s="202"/>
      <c r="C313" s="118">
        <v>2</v>
      </c>
      <c r="D313" s="113" t="s">
        <v>720</v>
      </c>
    </row>
    <row r="314" spans="2:4">
      <c r="C314" s="118"/>
      <c r="D314" s="113"/>
    </row>
    <row r="315" spans="2:4">
      <c r="B315" s="110" t="s">
        <v>0</v>
      </c>
      <c r="C315" s="110" t="s">
        <v>430</v>
      </c>
      <c r="D315" s="110" t="s">
        <v>429</v>
      </c>
    </row>
    <row r="316" spans="2:4">
      <c r="B316" s="202" t="s">
        <v>627</v>
      </c>
      <c r="C316" s="102">
        <v>2</v>
      </c>
      <c r="D316" s="113" t="s">
        <v>628</v>
      </c>
    </row>
    <row r="317" spans="2:4">
      <c r="B317" s="202"/>
      <c r="C317" s="102">
        <v>2</v>
      </c>
      <c r="D317" s="113" t="s">
        <v>629</v>
      </c>
    </row>
    <row r="319" spans="2:4">
      <c r="B319" s="110" t="s">
        <v>0</v>
      </c>
      <c r="C319" s="110" t="s">
        <v>430</v>
      </c>
      <c r="D319" s="110" t="s">
        <v>429</v>
      </c>
    </row>
    <row r="320" spans="2:4">
      <c r="B320" s="127" t="s">
        <v>83</v>
      </c>
      <c r="C320" s="102">
        <f>SUM(C310:C313)</f>
        <v>5</v>
      </c>
      <c r="D320" s="113" t="s">
        <v>721</v>
      </c>
    </row>
    <row r="322" spans="2:4">
      <c r="B322" s="110" t="s">
        <v>0</v>
      </c>
      <c r="C322" s="110" t="s">
        <v>430</v>
      </c>
      <c r="D322" s="110" t="s">
        <v>429</v>
      </c>
    </row>
    <row r="323" spans="2:4">
      <c r="B323" s="202" t="s">
        <v>50</v>
      </c>
      <c r="C323" s="102">
        <v>1</v>
      </c>
      <c r="D323" s="113" t="s">
        <v>630</v>
      </c>
    </row>
    <row r="324" spans="2:4">
      <c r="B324" s="202"/>
      <c r="C324" s="102">
        <v>1</v>
      </c>
      <c r="D324" s="113" t="s">
        <v>631</v>
      </c>
    </row>
    <row r="325" spans="2:4">
      <c r="B325" s="119"/>
      <c r="C325" s="107"/>
      <c r="D325" s="115"/>
    </row>
    <row r="326" spans="2:4">
      <c r="B326" s="110" t="s">
        <v>0</v>
      </c>
      <c r="C326" s="110" t="s">
        <v>430</v>
      </c>
      <c r="D326" s="110" t="s">
        <v>429</v>
      </c>
    </row>
    <row r="327" spans="2:4">
      <c r="B327" s="127" t="s">
        <v>722</v>
      </c>
      <c r="C327" s="102">
        <v>1</v>
      </c>
      <c r="D327" s="113" t="s">
        <v>726</v>
      </c>
    </row>
    <row r="328" spans="2:4">
      <c r="B328" s="119"/>
      <c r="C328" s="107"/>
      <c r="D328" s="115"/>
    </row>
    <row r="329" spans="2:4">
      <c r="B329" s="110" t="s">
        <v>0</v>
      </c>
      <c r="C329" s="110" t="s">
        <v>430</v>
      </c>
      <c r="D329" s="110" t="s">
        <v>429</v>
      </c>
    </row>
    <row r="330" spans="2:4">
      <c r="B330" s="127" t="s">
        <v>725</v>
      </c>
      <c r="C330" s="102">
        <v>1</v>
      </c>
      <c r="D330" s="113" t="s">
        <v>727</v>
      </c>
    </row>
    <row r="332" spans="2:4">
      <c r="B332" s="110" t="s">
        <v>0</v>
      </c>
      <c r="C332" s="110" t="s">
        <v>430</v>
      </c>
      <c r="D332" s="110" t="s">
        <v>429</v>
      </c>
    </row>
    <row r="333" spans="2:4">
      <c r="B333" s="202" t="s">
        <v>282</v>
      </c>
      <c r="C333" s="118">
        <v>2</v>
      </c>
      <c r="D333" s="113" t="s">
        <v>637</v>
      </c>
    </row>
    <row r="334" spans="2:4">
      <c r="B334" s="202"/>
      <c r="C334" s="118">
        <v>1</v>
      </c>
      <c r="D334" s="113" t="s">
        <v>656</v>
      </c>
    </row>
    <row r="335" spans="2:4">
      <c r="B335" s="202"/>
      <c r="C335" s="118">
        <v>1</v>
      </c>
      <c r="D335" s="113" t="s">
        <v>728</v>
      </c>
    </row>
    <row r="337" spans="2:4">
      <c r="B337" s="110" t="s">
        <v>0</v>
      </c>
      <c r="C337" s="110" t="s">
        <v>430</v>
      </c>
      <c r="D337" s="110" t="s">
        <v>429</v>
      </c>
    </row>
    <row r="338" spans="2:4">
      <c r="B338" s="125" t="s">
        <v>632</v>
      </c>
      <c r="C338" s="102">
        <v>4</v>
      </c>
      <c r="D338" s="113" t="s">
        <v>638</v>
      </c>
    </row>
    <row r="340" spans="2:4">
      <c r="B340" s="110" t="s">
        <v>0</v>
      </c>
      <c r="C340" s="110" t="s">
        <v>430</v>
      </c>
      <c r="D340" s="110" t="s">
        <v>429</v>
      </c>
    </row>
    <row r="341" spans="2:4">
      <c r="B341" s="125" t="s">
        <v>617</v>
      </c>
      <c r="C341" s="102">
        <v>4</v>
      </c>
      <c r="D341" s="113" t="s">
        <v>639</v>
      </c>
    </row>
    <row r="343" spans="2:4">
      <c r="B343" s="110" t="s">
        <v>0</v>
      </c>
      <c r="C343" s="110" t="s">
        <v>430</v>
      </c>
      <c r="D343" s="110" t="s">
        <v>429</v>
      </c>
    </row>
    <row r="344" spans="2:4">
      <c r="B344" s="202" t="s">
        <v>52</v>
      </c>
      <c r="C344" s="118">
        <v>1</v>
      </c>
      <c r="D344" s="113" t="s">
        <v>640</v>
      </c>
    </row>
    <row r="345" spans="2:4">
      <c r="B345" s="202"/>
      <c r="C345" s="118">
        <v>1</v>
      </c>
      <c r="D345" s="113" t="s">
        <v>641</v>
      </c>
    </row>
    <row r="346" spans="2:4">
      <c r="B346" s="202"/>
      <c r="C346" s="118">
        <v>1</v>
      </c>
      <c r="D346" s="113" t="s">
        <v>729</v>
      </c>
    </row>
    <row r="348" spans="2:4">
      <c r="B348" s="110" t="s">
        <v>0</v>
      </c>
      <c r="C348" s="110" t="s">
        <v>430</v>
      </c>
      <c r="D348" s="110" t="s">
        <v>429</v>
      </c>
    </row>
    <row r="349" spans="2:4">
      <c r="B349" s="202" t="s">
        <v>286</v>
      </c>
      <c r="C349" s="102">
        <v>1</v>
      </c>
      <c r="D349" s="113" t="s">
        <v>643</v>
      </c>
    </row>
    <row r="350" spans="2:4">
      <c r="B350" s="202"/>
      <c r="C350" s="102">
        <v>5</v>
      </c>
      <c r="D350" s="113" t="s">
        <v>642</v>
      </c>
    </row>
    <row r="352" spans="2:4">
      <c r="B352" s="110" t="s">
        <v>0</v>
      </c>
      <c r="C352" s="110" t="s">
        <v>430</v>
      </c>
      <c r="D352" s="110" t="s">
        <v>429</v>
      </c>
    </row>
    <row r="353" spans="2:4">
      <c r="B353" s="202" t="s">
        <v>145</v>
      </c>
      <c r="C353" s="118">
        <v>1</v>
      </c>
      <c r="D353" s="113" t="s">
        <v>644</v>
      </c>
    </row>
    <row r="354" spans="2:4">
      <c r="B354" s="202"/>
      <c r="C354" s="118">
        <v>1</v>
      </c>
      <c r="D354" s="113" t="s">
        <v>645</v>
      </c>
    </row>
    <row r="355" spans="2:4">
      <c r="B355" s="202"/>
      <c r="C355" s="118">
        <v>1</v>
      </c>
      <c r="D355" s="113" t="s">
        <v>646</v>
      </c>
    </row>
    <row r="356" spans="2:4">
      <c r="B356" s="202"/>
      <c r="C356" s="118">
        <v>1</v>
      </c>
      <c r="D356" s="113" t="s">
        <v>731</v>
      </c>
    </row>
    <row r="357" spans="2:4">
      <c r="B357" s="202"/>
      <c r="C357" s="118">
        <v>1</v>
      </c>
      <c r="D357" s="113" t="s">
        <v>732</v>
      </c>
    </row>
    <row r="358" spans="2:4">
      <c r="B358" s="202"/>
      <c r="C358" s="118">
        <v>1</v>
      </c>
      <c r="D358" s="113" t="s">
        <v>733</v>
      </c>
    </row>
    <row r="359" spans="2:4">
      <c r="B359" s="202"/>
      <c r="C359" s="118">
        <v>1</v>
      </c>
      <c r="D359" s="113" t="s">
        <v>734</v>
      </c>
    </row>
    <row r="360" spans="2:4">
      <c r="B360" s="202"/>
      <c r="C360" s="118">
        <v>1</v>
      </c>
      <c r="D360" s="113" t="s">
        <v>735</v>
      </c>
    </row>
    <row r="361" spans="2:4">
      <c r="B361" s="119"/>
      <c r="C361" s="107"/>
      <c r="D361" s="115"/>
    </row>
    <row r="362" spans="2:4">
      <c r="B362" s="110" t="s">
        <v>0</v>
      </c>
      <c r="C362" s="110" t="s">
        <v>430</v>
      </c>
      <c r="D362" s="110" t="s">
        <v>429</v>
      </c>
    </row>
    <row r="363" spans="2:4">
      <c r="B363" s="202" t="s">
        <v>857</v>
      </c>
      <c r="C363" s="118">
        <v>1</v>
      </c>
      <c r="D363" s="113" t="s">
        <v>859</v>
      </c>
    </row>
    <row r="364" spans="2:4">
      <c r="B364" s="202"/>
      <c r="C364" s="118">
        <v>1</v>
      </c>
      <c r="D364" s="113" t="s">
        <v>861</v>
      </c>
    </row>
    <row r="366" spans="2:4">
      <c r="B366" s="110" t="s">
        <v>0</v>
      </c>
      <c r="C366" s="110" t="s">
        <v>430</v>
      </c>
      <c r="D366" s="110" t="s">
        <v>429</v>
      </c>
    </row>
    <row r="367" spans="2:4">
      <c r="B367" s="202" t="s">
        <v>86</v>
      </c>
      <c r="C367" s="118">
        <v>1</v>
      </c>
      <c r="D367" s="113" t="s">
        <v>647</v>
      </c>
    </row>
    <row r="368" spans="2:4">
      <c r="B368" s="202"/>
      <c r="C368" s="118">
        <v>1</v>
      </c>
      <c r="D368" s="113" t="s">
        <v>648</v>
      </c>
    </row>
    <row r="369" spans="2:4">
      <c r="B369" s="202"/>
      <c r="C369" s="118">
        <v>1</v>
      </c>
      <c r="D369" s="113" t="s">
        <v>649</v>
      </c>
    </row>
    <row r="370" spans="2:4">
      <c r="B370" s="202"/>
      <c r="C370" s="118">
        <v>1</v>
      </c>
      <c r="D370" s="113" t="s">
        <v>657</v>
      </c>
    </row>
    <row r="424" spans="1:4">
      <c r="A424" s="117"/>
      <c r="B424" s="117"/>
      <c r="C424" s="117"/>
      <c r="D424" s="117"/>
    </row>
  </sheetData>
  <mergeCells count="48">
    <mergeCell ref="B7:B12"/>
    <mergeCell ref="B1:D1"/>
    <mergeCell ref="B349:B350"/>
    <mergeCell ref="B198:B200"/>
    <mergeCell ref="B206:D206"/>
    <mergeCell ref="B209:B216"/>
    <mergeCell ref="B227:D227"/>
    <mergeCell ref="B195:D195"/>
    <mergeCell ref="B230:D230"/>
    <mergeCell ref="B233:D233"/>
    <mergeCell ref="B162:B163"/>
    <mergeCell ref="B15:B19"/>
    <mergeCell ref="B249:B251"/>
    <mergeCell ref="B45:B47"/>
    <mergeCell ref="B174:B176"/>
    <mergeCell ref="B301:B304"/>
    <mergeCell ref="B367:B370"/>
    <mergeCell ref="B68:B69"/>
    <mergeCell ref="B316:B317"/>
    <mergeCell ref="B323:B324"/>
    <mergeCell ref="B254:D254"/>
    <mergeCell ref="B262:D262"/>
    <mergeCell ref="B298:D298"/>
    <mergeCell ref="B287:B289"/>
    <mergeCell ref="B292:B294"/>
    <mergeCell ref="B277:B278"/>
    <mergeCell ref="B307:D307"/>
    <mergeCell ref="B113:D113"/>
    <mergeCell ref="B236:B240"/>
    <mergeCell ref="B116:B126"/>
    <mergeCell ref="B132:D132"/>
    <mergeCell ref="B95:D95"/>
    <mergeCell ref="B363:B364"/>
    <mergeCell ref="B37:B38"/>
    <mergeCell ref="B41:B42"/>
    <mergeCell ref="B30:B31"/>
    <mergeCell ref="B25:B27"/>
    <mergeCell ref="B53:B56"/>
    <mergeCell ref="B65:D65"/>
    <mergeCell ref="B90:B92"/>
    <mergeCell ref="B257:B259"/>
    <mergeCell ref="B344:B346"/>
    <mergeCell ref="B219:B225"/>
    <mergeCell ref="B353:B360"/>
    <mergeCell ref="B188:B189"/>
    <mergeCell ref="B166:B168"/>
    <mergeCell ref="B310:B313"/>
    <mergeCell ref="B333:B33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21"/>
  <sheetViews>
    <sheetView workbookViewId="0"/>
  </sheetViews>
  <sheetFormatPr defaultRowHeight="12.75"/>
  <cols>
    <col min="1" max="2" width="9.140625" style="96"/>
    <col min="3" max="3" width="31.140625" style="96" bestFit="1" customWidth="1"/>
    <col min="4" max="4" width="21.85546875" style="96" bestFit="1" customWidth="1"/>
    <col min="5" max="5" width="11.7109375" style="96" bestFit="1" customWidth="1"/>
    <col min="6" max="6" width="28.28515625" style="96" bestFit="1" customWidth="1"/>
    <col min="7" max="8" width="9.140625" style="96"/>
    <col min="9" max="9" width="27.85546875" style="96" bestFit="1" customWidth="1"/>
    <col min="10" max="16384" width="9.140625" style="96"/>
  </cols>
  <sheetData>
    <row r="3" spans="3:10">
      <c r="C3" s="120" t="s">
        <v>150</v>
      </c>
      <c r="D3" s="120" t="s">
        <v>491</v>
      </c>
      <c r="E3" s="120" t="s">
        <v>492</v>
      </c>
      <c r="F3" s="120" t="s">
        <v>497</v>
      </c>
      <c r="I3" s="120" t="s">
        <v>504</v>
      </c>
      <c r="J3" s="120">
        <f>D21</f>
        <v>10</v>
      </c>
    </row>
    <row r="4" spans="3:10">
      <c r="C4" s="120" t="s">
        <v>389</v>
      </c>
      <c r="D4" s="120">
        <v>0</v>
      </c>
      <c r="E4" s="120">
        <v>1</v>
      </c>
      <c r="F4" s="120" t="s">
        <v>499</v>
      </c>
      <c r="I4" s="120" t="s">
        <v>505</v>
      </c>
      <c r="J4" s="120">
        <v>4</v>
      </c>
    </row>
    <row r="5" spans="3:10">
      <c r="C5" s="120" t="s">
        <v>390</v>
      </c>
      <c r="D5" s="120">
        <v>0</v>
      </c>
      <c r="E5" s="120">
        <v>1</v>
      </c>
      <c r="F5" s="120" t="s">
        <v>498</v>
      </c>
      <c r="I5" s="120" t="s">
        <v>506</v>
      </c>
      <c r="J5" s="120">
        <v>13</v>
      </c>
    </row>
    <row r="6" spans="3:10">
      <c r="C6" s="120" t="s">
        <v>488</v>
      </c>
      <c r="D6" s="120">
        <v>1</v>
      </c>
      <c r="E6" s="120">
        <v>1</v>
      </c>
      <c r="F6" s="120" t="s">
        <v>500</v>
      </c>
      <c r="I6" s="120" t="s">
        <v>507</v>
      </c>
      <c r="J6" s="120">
        <v>3</v>
      </c>
    </row>
    <row r="7" spans="3:10">
      <c r="C7" s="120" t="s">
        <v>489</v>
      </c>
      <c r="D7" s="120">
        <v>0</v>
      </c>
      <c r="E7" s="120">
        <v>1</v>
      </c>
      <c r="F7" s="120" t="s">
        <v>498</v>
      </c>
      <c r="I7" s="120" t="s">
        <v>508</v>
      </c>
      <c r="J7" s="120">
        <v>1</v>
      </c>
    </row>
    <row r="8" spans="3:10">
      <c r="C8" s="120" t="s">
        <v>490</v>
      </c>
      <c r="D8" s="120">
        <v>1</v>
      </c>
      <c r="E8" s="120">
        <v>1</v>
      </c>
      <c r="F8" s="120" t="s">
        <v>500</v>
      </c>
    </row>
    <row r="9" spans="3:10">
      <c r="C9" s="120" t="s">
        <v>387</v>
      </c>
      <c r="D9" s="120">
        <v>1</v>
      </c>
      <c r="E9" s="120">
        <v>1</v>
      </c>
      <c r="F9" s="120" t="s">
        <v>498</v>
      </c>
    </row>
    <row r="10" spans="3:10">
      <c r="C10" s="120" t="s">
        <v>385</v>
      </c>
      <c r="D10" s="120">
        <v>0</v>
      </c>
      <c r="E10" s="120">
        <v>1</v>
      </c>
      <c r="F10" s="120" t="s">
        <v>498</v>
      </c>
    </row>
    <row r="11" spans="3:10">
      <c r="C11" s="120" t="s">
        <v>388</v>
      </c>
      <c r="D11" s="120">
        <v>2</v>
      </c>
      <c r="E11" s="120">
        <v>2</v>
      </c>
      <c r="F11" s="120" t="s">
        <v>498</v>
      </c>
    </row>
    <row r="12" spans="3:10">
      <c r="C12" s="120" t="s">
        <v>493</v>
      </c>
      <c r="D12" s="120">
        <v>2</v>
      </c>
      <c r="E12" s="120">
        <v>2</v>
      </c>
      <c r="F12" s="120" t="s">
        <v>498</v>
      </c>
    </row>
    <row r="13" spans="3:10">
      <c r="C13" s="120" t="s">
        <v>384</v>
      </c>
      <c r="D13" s="120">
        <v>0</v>
      </c>
      <c r="E13" s="120">
        <v>1</v>
      </c>
      <c r="F13" s="120" t="s">
        <v>498</v>
      </c>
    </row>
    <row r="14" spans="3:10">
      <c r="C14" s="120" t="s">
        <v>494</v>
      </c>
      <c r="D14" s="120">
        <v>0</v>
      </c>
      <c r="E14" s="120">
        <v>1</v>
      </c>
      <c r="F14" s="120" t="s">
        <v>501</v>
      </c>
    </row>
    <row r="15" spans="3:10">
      <c r="C15" s="120" t="s">
        <v>495</v>
      </c>
      <c r="D15" s="120">
        <v>0</v>
      </c>
      <c r="E15" s="120">
        <v>1</v>
      </c>
      <c r="F15" s="120" t="s">
        <v>500</v>
      </c>
    </row>
    <row r="16" spans="3:10">
      <c r="C16" s="120" t="s">
        <v>496</v>
      </c>
      <c r="D16" s="120">
        <v>0</v>
      </c>
      <c r="E16" s="120">
        <v>1</v>
      </c>
      <c r="F16" s="120" t="s">
        <v>500</v>
      </c>
    </row>
    <row r="17" spans="3:6">
      <c r="C17" s="120" t="s">
        <v>386</v>
      </c>
      <c r="D17" s="120">
        <v>2</v>
      </c>
      <c r="E17" s="120">
        <v>2</v>
      </c>
      <c r="F17" s="120" t="s">
        <v>498</v>
      </c>
    </row>
    <row r="18" spans="3:6">
      <c r="C18" s="120" t="s">
        <v>502</v>
      </c>
      <c r="D18" s="120">
        <v>0</v>
      </c>
      <c r="E18" s="120">
        <v>2</v>
      </c>
      <c r="F18" s="120" t="s">
        <v>501</v>
      </c>
    </row>
    <row r="19" spans="3:6">
      <c r="C19" s="120" t="s">
        <v>383</v>
      </c>
      <c r="D19" s="120">
        <v>1</v>
      </c>
      <c r="E19" s="120">
        <v>1</v>
      </c>
      <c r="F19" s="120" t="s">
        <v>498</v>
      </c>
    </row>
    <row r="20" spans="3:6">
      <c r="C20" s="120" t="s">
        <v>503</v>
      </c>
      <c r="D20" s="120">
        <v>0</v>
      </c>
      <c r="E20" s="120">
        <v>1</v>
      </c>
      <c r="F20" s="120" t="s">
        <v>498</v>
      </c>
    </row>
    <row r="21" spans="3:6">
      <c r="C21" s="121" t="s">
        <v>28</v>
      </c>
      <c r="D21" s="121">
        <f>SUM(D4:D20)</f>
        <v>10</v>
      </c>
      <c r="E21" s="121">
        <f>SUM(E4:E20)</f>
        <v>21</v>
      </c>
      <c r="F21" s="120" t="s">
        <v>382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1"/>
  <sheetViews>
    <sheetView workbookViewId="0">
      <selection activeCell="C7" sqref="C7"/>
    </sheetView>
  </sheetViews>
  <sheetFormatPr defaultRowHeight="12.75"/>
  <cols>
    <col min="1" max="1" width="9.140625" style="96"/>
    <col min="2" max="2" width="54.28515625" style="96" bestFit="1" customWidth="1"/>
    <col min="3" max="257" width="9.140625" style="96"/>
    <col min="258" max="258" width="54.28515625" style="96" bestFit="1" customWidth="1"/>
    <col min="259" max="513" width="9.140625" style="96"/>
    <col min="514" max="514" width="54.28515625" style="96" bestFit="1" customWidth="1"/>
    <col min="515" max="769" width="9.140625" style="96"/>
    <col min="770" max="770" width="54.28515625" style="96" bestFit="1" customWidth="1"/>
    <col min="771" max="1025" width="9.140625" style="96"/>
    <col min="1026" max="1026" width="54.28515625" style="96" bestFit="1" customWidth="1"/>
    <col min="1027" max="1281" width="9.140625" style="96"/>
    <col min="1282" max="1282" width="54.28515625" style="96" bestFit="1" customWidth="1"/>
    <col min="1283" max="1537" width="9.140625" style="96"/>
    <col min="1538" max="1538" width="54.28515625" style="96" bestFit="1" customWidth="1"/>
    <col min="1539" max="1793" width="9.140625" style="96"/>
    <col min="1794" max="1794" width="54.28515625" style="96" bestFit="1" customWidth="1"/>
    <col min="1795" max="2049" width="9.140625" style="96"/>
    <col min="2050" max="2050" width="54.28515625" style="96" bestFit="1" customWidth="1"/>
    <col min="2051" max="2305" width="9.140625" style="96"/>
    <col min="2306" max="2306" width="54.28515625" style="96" bestFit="1" customWidth="1"/>
    <col min="2307" max="2561" width="9.140625" style="96"/>
    <col min="2562" max="2562" width="54.28515625" style="96" bestFit="1" customWidth="1"/>
    <col min="2563" max="2817" width="9.140625" style="96"/>
    <col min="2818" max="2818" width="54.28515625" style="96" bestFit="1" customWidth="1"/>
    <col min="2819" max="3073" width="9.140625" style="96"/>
    <col min="3074" max="3074" width="54.28515625" style="96" bestFit="1" customWidth="1"/>
    <col min="3075" max="3329" width="9.140625" style="96"/>
    <col min="3330" max="3330" width="54.28515625" style="96" bestFit="1" customWidth="1"/>
    <col min="3331" max="3585" width="9.140625" style="96"/>
    <col min="3586" max="3586" width="54.28515625" style="96" bestFit="1" customWidth="1"/>
    <col min="3587" max="3841" width="9.140625" style="96"/>
    <col min="3842" max="3842" width="54.28515625" style="96" bestFit="1" customWidth="1"/>
    <col min="3843" max="4097" width="9.140625" style="96"/>
    <col min="4098" max="4098" width="54.28515625" style="96" bestFit="1" customWidth="1"/>
    <col min="4099" max="4353" width="9.140625" style="96"/>
    <col min="4354" max="4354" width="54.28515625" style="96" bestFit="1" customWidth="1"/>
    <col min="4355" max="4609" width="9.140625" style="96"/>
    <col min="4610" max="4610" width="54.28515625" style="96" bestFit="1" customWidth="1"/>
    <col min="4611" max="4865" width="9.140625" style="96"/>
    <col min="4866" max="4866" width="54.28515625" style="96" bestFit="1" customWidth="1"/>
    <col min="4867" max="5121" width="9.140625" style="96"/>
    <col min="5122" max="5122" width="54.28515625" style="96" bestFit="1" customWidth="1"/>
    <col min="5123" max="5377" width="9.140625" style="96"/>
    <col min="5378" max="5378" width="54.28515625" style="96" bestFit="1" customWidth="1"/>
    <col min="5379" max="5633" width="9.140625" style="96"/>
    <col min="5634" max="5634" width="54.28515625" style="96" bestFit="1" customWidth="1"/>
    <col min="5635" max="5889" width="9.140625" style="96"/>
    <col min="5890" max="5890" width="54.28515625" style="96" bestFit="1" customWidth="1"/>
    <col min="5891" max="6145" width="9.140625" style="96"/>
    <col min="6146" max="6146" width="54.28515625" style="96" bestFit="1" customWidth="1"/>
    <col min="6147" max="6401" width="9.140625" style="96"/>
    <col min="6402" max="6402" width="54.28515625" style="96" bestFit="1" customWidth="1"/>
    <col min="6403" max="6657" width="9.140625" style="96"/>
    <col min="6658" max="6658" width="54.28515625" style="96" bestFit="1" customWidth="1"/>
    <col min="6659" max="6913" width="9.140625" style="96"/>
    <col min="6914" max="6914" width="54.28515625" style="96" bestFit="1" customWidth="1"/>
    <col min="6915" max="7169" width="9.140625" style="96"/>
    <col min="7170" max="7170" width="54.28515625" style="96" bestFit="1" customWidth="1"/>
    <col min="7171" max="7425" width="9.140625" style="96"/>
    <col min="7426" max="7426" width="54.28515625" style="96" bestFit="1" customWidth="1"/>
    <col min="7427" max="7681" width="9.140625" style="96"/>
    <col min="7682" max="7682" width="54.28515625" style="96" bestFit="1" customWidth="1"/>
    <col min="7683" max="7937" width="9.140625" style="96"/>
    <col min="7938" max="7938" width="54.28515625" style="96" bestFit="1" customWidth="1"/>
    <col min="7939" max="8193" width="9.140625" style="96"/>
    <col min="8194" max="8194" width="54.28515625" style="96" bestFit="1" customWidth="1"/>
    <col min="8195" max="8449" width="9.140625" style="96"/>
    <col min="8450" max="8450" width="54.28515625" style="96" bestFit="1" customWidth="1"/>
    <col min="8451" max="8705" width="9.140625" style="96"/>
    <col min="8706" max="8706" width="54.28515625" style="96" bestFit="1" customWidth="1"/>
    <col min="8707" max="8961" width="9.140625" style="96"/>
    <col min="8962" max="8962" width="54.28515625" style="96" bestFit="1" customWidth="1"/>
    <col min="8963" max="9217" width="9.140625" style="96"/>
    <col min="9218" max="9218" width="54.28515625" style="96" bestFit="1" customWidth="1"/>
    <col min="9219" max="9473" width="9.140625" style="96"/>
    <col min="9474" max="9474" width="54.28515625" style="96" bestFit="1" customWidth="1"/>
    <col min="9475" max="9729" width="9.140625" style="96"/>
    <col min="9730" max="9730" width="54.28515625" style="96" bestFit="1" customWidth="1"/>
    <col min="9731" max="9985" width="9.140625" style="96"/>
    <col min="9986" max="9986" width="54.28515625" style="96" bestFit="1" customWidth="1"/>
    <col min="9987" max="10241" width="9.140625" style="96"/>
    <col min="10242" max="10242" width="54.28515625" style="96" bestFit="1" customWidth="1"/>
    <col min="10243" max="10497" width="9.140625" style="96"/>
    <col min="10498" max="10498" width="54.28515625" style="96" bestFit="1" customWidth="1"/>
    <col min="10499" max="10753" width="9.140625" style="96"/>
    <col min="10754" max="10754" width="54.28515625" style="96" bestFit="1" customWidth="1"/>
    <col min="10755" max="11009" width="9.140625" style="96"/>
    <col min="11010" max="11010" width="54.28515625" style="96" bestFit="1" customWidth="1"/>
    <col min="11011" max="11265" width="9.140625" style="96"/>
    <col min="11266" max="11266" width="54.28515625" style="96" bestFit="1" customWidth="1"/>
    <col min="11267" max="11521" width="9.140625" style="96"/>
    <col min="11522" max="11522" width="54.28515625" style="96" bestFit="1" customWidth="1"/>
    <col min="11523" max="11777" width="9.140625" style="96"/>
    <col min="11778" max="11778" width="54.28515625" style="96" bestFit="1" customWidth="1"/>
    <col min="11779" max="12033" width="9.140625" style="96"/>
    <col min="12034" max="12034" width="54.28515625" style="96" bestFit="1" customWidth="1"/>
    <col min="12035" max="12289" width="9.140625" style="96"/>
    <col min="12290" max="12290" width="54.28515625" style="96" bestFit="1" customWidth="1"/>
    <col min="12291" max="12545" width="9.140625" style="96"/>
    <col min="12546" max="12546" width="54.28515625" style="96" bestFit="1" customWidth="1"/>
    <col min="12547" max="12801" width="9.140625" style="96"/>
    <col min="12802" max="12802" width="54.28515625" style="96" bestFit="1" customWidth="1"/>
    <col min="12803" max="13057" width="9.140625" style="96"/>
    <col min="13058" max="13058" width="54.28515625" style="96" bestFit="1" customWidth="1"/>
    <col min="13059" max="13313" width="9.140625" style="96"/>
    <col min="13314" max="13314" width="54.28515625" style="96" bestFit="1" customWidth="1"/>
    <col min="13315" max="13569" width="9.140625" style="96"/>
    <col min="13570" max="13570" width="54.28515625" style="96" bestFit="1" customWidth="1"/>
    <col min="13571" max="13825" width="9.140625" style="96"/>
    <col min="13826" max="13826" width="54.28515625" style="96" bestFit="1" customWidth="1"/>
    <col min="13827" max="14081" width="9.140625" style="96"/>
    <col min="14082" max="14082" width="54.28515625" style="96" bestFit="1" customWidth="1"/>
    <col min="14083" max="14337" width="9.140625" style="96"/>
    <col min="14338" max="14338" width="54.28515625" style="96" bestFit="1" customWidth="1"/>
    <col min="14339" max="14593" width="9.140625" style="96"/>
    <col min="14594" max="14594" width="54.28515625" style="96" bestFit="1" customWidth="1"/>
    <col min="14595" max="14849" width="9.140625" style="96"/>
    <col min="14850" max="14850" width="54.28515625" style="96" bestFit="1" customWidth="1"/>
    <col min="14851" max="15105" width="9.140625" style="96"/>
    <col min="15106" max="15106" width="54.28515625" style="96" bestFit="1" customWidth="1"/>
    <col min="15107" max="15361" width="9.140625" style="96"/>
    <col min="15362" max="15362" width="54.28515625" style="96" bestFit="1" customWidth="1"/>
    <col min="15363" max="15617" width="9.140625" style="96"/>
    <col min="15618" max="15618" width="54.28515625" style="96" bestFit="1" customWidth="1"/>
    <col min="15619" max="15873" width="9.140625" style="96"/>
    <col min="15874" max="15874" width="54.28515625" style="96" bestFit="1" customWidth="1"/>
    <col min="15875" max="16129" width="9.140625" style="96"/>
    <col min="16130" max="16130" width="54.28515625" style="96" bestFit="1" customWidth="1"/>
    <col min="16131" max="16384" width="9.140625" style="96"/>
  </cols>
  <sheetData>
    <row r="3" spans="2:5">
      <c r="B3" s="97" t="s">
        <v>402</v>
      </c>
      <c r="C3" s="102">
        <v>1</v>
      </c>
      <c r="D3" s="97" t="s">
        <v>403</v>
      </c>
      <c r="E3" s="101" t="s">
        <v>369</v>
      </c>
    </row>
    <row r="4" spans="2:5">
      <c r="B4" s="97" t="s">
        <v>404</v>
      </c>
      <c r="C4" s="102">
        <v>1</v>
      </c>
      <c r="D4" s="97" t="s">
        <v>403</v>
      </c>
      <c r="E4" s="101" t="s">
        <v>369</v>
      </c>
    </row>
    <row r="5" spans="2:5">
      <c r="B5" s="97" t="s">
        <v>405</v>
      </c>
      <c r="C5" s="102">
        <v>1</v>
      </c>
      <c r="D5" s="97" t="s">
        <v>403</v>
      </c>
      <c r="E5" s="101" t="s">
        <v>369</v>
      </c>
    </row>
    <row r="6" spans="2:5">
      <c r="B6" s="97" t="s">
        <v>406</v>
      </c>
      <c r="C6" s="102">
        <f>10.3*3-2*1.12*0.52-C8</f>
        <v>29.483200000000004</v>
      </c>
      <c r="D6" s="97" t="s">
        <v>5</v>
      </c>
      <c r="E6" s="103" t="s">
        <v>369</v>
      </c>
    </row>
    <row r="7" spans="2:5">
      <c r="B7" s="97" t="s">
        <v>407</v>
      </c>
      <c r="C7" s="102">
        <f>2.2*2.95</f>
        <v>6.4900000000000011</v>
      </c>
      <c r="D7" s="97" t="s">
        <v>5</v>
      </c>
      <c r="E7" s="103" t="s">
        <v>369</v>
      </c>
    </row>
    <row r="8" spans="2:5" ht="25.5">
      <c r="B8" s="104" t="s">
        <v>408</v>
      </c>
      <c r="C8" s="102">
        <f>0.8*2.1*0.15</f>
        <v>0.252</v>
      </c>
      <c r="D8" s="105" t="s">
        <v>6</v>
      </c>
      <c r="E8" s="103" t="s">
        <v>369</v>
      </c>
    </row>
    <row r="9" spans="2:5">
      <c r="B9" s="97" t="s">
        <v>409</v>
      </c>
      <c r="C9" s="102">
        <v>1</v>
      </c>
      <c r="D9" s="97" t="s">
        <v>403</v>
      </c>
      <c r="E9" s="103" t="s">
        <v>369</v>
      </c>
    </row>
    <row r="10" spans="2:5">
      <c r="B10" s="98" t="s">
        <v>410</v>
      </c>
      <c r="C10" s="102">
        <v>1</v>
      </c>
      <c r="D10" s="98" t="s">
        <v>403</v>
      </c>
      <c r="E10" s="103" t="s">
        <v>369</v>
      </c>
    </row>
    <row r="11" spans="2:5">
      <c r="B11" s="98" t="s">
        <v>411</v>
      </c>
      <c r="C11" s="102">
        <v>1</v>
      </c>
      <c r="D11" s="98" t="s">
        <v>403</v>
      </c>
      <c r="E11" s="103" t="s">
        <v>369</v>
      </c>
    </row>
    <row r="12" spans="2:5">
      <c r="B12" s="98" t="s">
        <v>412</v>
      </c>
      <c r="C12" s="102">
        <v>1</v>
      </c>
      <c r="D12" s="98" t="s">
        <v>403</v>
      </c>
      <c r="E12" s="103" t="s">
        <v>369</v>
      </c>
    </row>
    <row r="13" spans="2:5">
      <c r="B13" s="98" t="s">
        <v>413</v>
      </c>
      <c r="C13" s="102">
        <v>1</v>
      </c>
      <c r="D13" s="98" t="s">
        <v>403</v>
      </c>
      <c r="E13" s="103" t="s">
        <v>369</v>
      </c>
    </row>
    <row r="14" spans="2:5">
      <c r="B14" s="98" t="s">
        <v>414</v>
      </c>
      <c r="C14" s="102">
        <v>1</v>
      </c>
      <c r="D14" s="98" t="s">
        <v>403</v>
      </c>
      <c r="E14" s="103" t="s">
        <v>369</v>
      </c>
    </row>
    <row r="15" spans="2:5">
      <c r="B15" s="98" t="s">
        <v>415</v>
      </c>
      <c r="C15" s="102">
        <v>1</v>
      </c>
      <c r="D15" s="98" t="s">
        <v>403</v>
      </c>
      <c r="E15" s="103" t="s">
        <v>369</v>
      </c>
    </row>
    <row r="16" spans="2:5">
      <c r="B16" s="98" t="s">
        <v>416</v>
      </c>
      <c r="C16" s="102">
        <v>1</v>
      </c>
      <c r="D16" s="98" t="s">
        <v>403</v>
      </c>
      <c r="E16" s="103" t="s">
        <v>369</v>
      </c>
    </row>
    <row r="17" spans="2:5">
      <c r="B17" s="98" t="s">
        <v>417</v>
      </c>
      <c r="C17" s="102">
        <f>C7</f>
        <v>6.4900000000000011</v>
      </c>
      <c r="D17" s="97" t="s">
        <v>5</v>
      </c>
      <c r="E17" s="103" t="s">
        <v>369</v>
      </c>
    </row>
    <row r="18" spans="2:5">
      <c r="B18" s="98" t="s">
        <v>418</v>
      </c>
      <c r="C18" s="102">
        <f>C6</f>
        <v>29.483200000000004</v>
      </c>
      <c r="D18" s="97" t="s">
        <v>5</v>
      </c>
      <c r="E18" s="103" t="s">
        <v>369</v>
      </c>
    </row>
    <row r="19" spans="2:5">
      <c r="B19" s="106"/>
      <c r="C19" s="107"/>
      <c r="D19" s="106"/>
      <c r="E19" s="103"/>
    </row>
    <row r="21" spans="2:5">
      <c r="B21" s="291" t="s">
        <v>419</v>
      </c>
      <c r="C21" s="291"/>
      <c r="D21" s="291"/>
    </row>
  </sheetData>
  <mergeCells count="1">
    <mergeCell ref="B21:D2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P150"/>
  <sheetViews>
    <sheetView topLeftCell="E100" workbookViewId="0">
      <selection activeCell="L127" sqref="L127"/>
    </sheetView>
  </sheetViews>
  <sheetFormatPr defaultRowHeight="12"/>
  <cols>
    <col min="1" max="6" width="9.140625" style="1"/>
    <col min="7" max="7" width="32.85546875" style="1" bestFit="1" customWidth="1"/>
    <col min="8" max="8" width="15.140625" style="1" bestFit="1" customWidth="1"/>
    <col min="9" max="9" width="24.5703125" style="1" bestFit="1" customWidth="1"/>
    <col min="10" max="10" width="21.140625" style="1" bestFit="1" customWidth="1"/>
    <col min="11" max="12" width="18.42578125" style="1" bestFit="1" customWidth="1"/>
    <col min="13" max="13" width="16.5703125" style="1" bestFit="1" customWidth="1"/>
    <col min="14" max="15" width="10" style="1" customWidth="1"/>
    <col min="16" max="16384" width="9.140625" style="1"/>
  </cols>
  <sheetData>
    <row r="2" spans="7:16">
      <c r="G2" s="228" t="s">
        <v>150</v>
      </c>
      <c r="H2" s="240" t="s">
        <v>151</v>
      </c>
      <c r="I2" s="241"/>
      <c r="J2" s="296"/>
      <c r="K2" s="294" t="s">
        <v>152</v>
      </c>
      <c r="L2" s="294"/>
      <c r="M2" s="292" t="s">
        <v>156</v>
      </c>
      <c r="N2" s="77"/>
      <c r="O2" s="292" t="s">
        <v>159</v>
      </c>
      <c r="P2" s="292"/>
    </row>
    <row r="3" spans="7:16">
      <c r="G3" s="229"/>
      <c r="H3" s="27" t="s">
        <v>153</v>
      </c>
      <c r="I3" s="27" t="s">
        <v>154</v>
      </c>
      <c r="J3" s="27" t="s">
        <v>155</v>
      </c>
      <c r="K3" s="27" t="s">
        <v>153</v>
      </c>
      <c r="L3" s="27" t="s">
        <v>154</v>
      </c>
      <c r="M3" s="292"/>
      <c r="N3" s="77" t="s">
        <v>316</v>
      </c>
      <c r="O3" s="54" t="s">
        <v>162</v>
      </c>
      <c r="P3" s="54" t="s">
        <v>163</v>
      </c>
    </row>
    <row r="4" spans="7:16">
      <c r="G4" s="86" t="s">
        <v>256</v>
      </c>
      <c r="H4" s="29">
        <v>7</v>
      </c>
      <c r="I4" s="29">
        <v>2</v>
      </c>
      <c r="J4" s="29">
        <v>1</v>
      </c>
      <c r="K4" s="29">
        <v>0</v>
      </c>
      <c r="L4" s="29">
        <v>0</v>
      </c>
      <c r="M4" s="29">
        <v>4</v>
      </c>
      <c r="N4" s="29">
        <v>0</v>
      </c>
      <c r="O4" s="28">
        <v>0</v>
      </c>
      <c r="P4" s="28">
        <v>1</v>
      </c>
    </row>
    <row r="5" spans="7:16">
      <c r="G5" s="86" t="s">
        <v>257</v>
      </c>
      <c r="H5" s="29">
        <v>8</v>
      </c>
      <c r="I5" s="29">
        <v>1</v>
      </c>
      <c r="J5" s="29">
        <v>1</v>
      </c>
      <c r="K5" s="29">
        <v>0</v>
      </c>
      <c r="L5" s="29">
        <v>0</v>
      </c>
      <c r="M5" s="29">
        <v>4</v>
      </c>
      <c r="N5" s="29">
        <v>0</v>
      </c>
      <c r="O5" s="28">
        <v>0</v>
      </c>
      <c r="P5" s="28">
        <v>1</v>
      </c>
    </row>
    <row r="6" spans="7:16">
      <c r="G6" s="86" t="s">
        <v>258</v>
      </c>
      <c r="H6" s="29">
        <v>10</v>
      </c>
      <c r="I6" s="29">
        <v>3</v>
      </c>
      <c r="J6" s="29">
        <v>1</v>
      </c>
      <c r="K6" s="29">
        <v>0</v>
      </c>
      <c r="L6" s="29">
        <v>0</v>
      </c>
      <c r="M6" s="29">
        <v>5</v>
      </c>
      <c r="N6" s="29">
        <v>0</v>
      </c>
      <c r="O6" s="28">
        <v>0</v>
      </c>
      <c r="P6" s="28">
        <v>4</v>
      </c>
    </row>
    <row r="7" spans="7:16">
      <c r="G7" s="86" t="s">
        <v>259</v>
      </c>
      <c r="H7" s="29">
        <v>8</v>
      </c>
      <c r="I7" s="29">
        <v>2</v>
      </c>
      <c r="J7" s="29">
        <v>1</v>
      </c>
      <c r="K7" s="29">
        <v>0</v>
      </c>
      <c r="L7" s="29">
        <v>0</v>
      </c>
      <c r="M7" s="29">
        <v>4</v>
      </c>
      <c r="N7" s="29">
        <v>0</v>
      </c>
      <c r="O7" s="28">
        <v>0</v>
      </c>
      <c r="P7" s="28">
        <v>1</v>
      </c>
    </row>
    <row r="8" spans="7:16">
      <c r="G8" s="86" t="s">
        <v>260</v>
      </c>
      <c r="H8" s="29">
        <v>1</v>
      </c>
      <c r="I8" s="29">
        <v>3</v>
      </c>
      <c r="J8" s="29">
        <v>0</v>
      </c>
      <c r="K8" s="29">
        <v>0</v>
      </c>
      <c r="L8" s="29">
        <v>0</v>
      </c>
      <c r="M8" s="29">
        <v>2</v>
      </c>
      <c r="N8" s="29">
        <v>0</v>
      </c>
      <c r="O8" s="28">
        <v>2</v>
      </c>
      <c r="P8" s="28">
        <v>0</v>
      </c>
    </row>
    <row r="9" spans="7:16">
      <c r="G9" s="86" t="s">
        <v>261</v>
      </c>
      <c r="H9" s="29">
        <v>0</v>
      </c>
      <c r="I9" s="29">
        <v>0</v>
      </c>
      <c r="J9" s="29">
        <v>0</v>
      </c>
      <c r="K9" s="29">
        <v>0</v>
      </c>
      <c r="L9" s="29">
        <v>1</v>
      </c>
      <c r="M9" s="29">
        <v>1</v>
      </c>
      <c r="N9" s="29">
        <v>1</v>
      </c>
      <c r="O9" s="28">
        <v>0</v>
      </c>
      <c r="P9" s="28">
        <v>0</v>
      </c>
    </row>
    <row r="10" spans="7:16">
      <c r="G10" s="86" t="s">
        <v>263</v>
      </c>
      <c r="H10" s="29">
        <v>1</v>
      </c>
      <c r="I10" s="29">
        <v>2</v>
      </c>
      <c r="J10" s="29">
        <v>1</v>
      </c>
      <c r="K10" s="29">
        <v>0</v>
      </c>
      <c r="L10" s="29">
        <v>2</v>
      </c>
      <c r="M10" s="29">
        <v>1</v>
      </c>
      <c r="N10" s="29">
        <v>0</v>
      </c>
      <c r="O10" s="28">
        <v>2</v>
      </c>
      <c r="P10" s="28">
        <v>0</v>
      </c>
    </row>
    <row r="11" spans="7:16">
      <c r="G11" s="86" t="s">
        <v>262</v>
      </c>
      <c r="H11" s="29">
        <v>2</v>
      </c>
      <c r="I11" s="29">
        <v>4</v>
      </c>
      <c r="J11" s="29">
        <v>1</v>
      </c>
      <c r="K11" s="29">
        <v>0</v>
      </c>
      <c r="L11" s="29">
        <v>2</v>
      </c>
      <c r="M11" s="29">
        <v>2</v>
      </c>
      <c r="N11" s="29">
        <v>0</v>
      </c>
      <c r="O11" s="28">
        <v>2</v>
      </c>
      <c r="P11" s="28">
        <v>0</v>
      </c>
    </row>
    <row r="12" spans="7:16">
      <c r="G12" s="86" t="s">
        <v>264</v>
      </c>
      <c r="H12" s="29">
        <v>6</v>
      </c>
      <c r="I12" s="29">
        <v>2</v>
      </c>
      <c r="J12" s="29">
        <v>1</v>
      </c>
      <c r="K12" s="29">
        <v>0</v>
      </c>
      <c r="L12" s="29">
        <v>0</v>
      </c>
      <c r="M12" s="29">
        <v>4</v>
      </c>
      <c r="N12" s="29">
        <v>0</v>
      </c>
      <c r="O12" s="28">
        <v>0</v>
      </c>
      <c r="P12" s="28">
        <v>3</v>
      </c>
    </row>
    <row r="13" spans="7:16">
      <c r="G13" s="86" t="s">
        <v>265</v>
      </c>
      <c r="H13" s="29">
        <v>4</v>
      </c>
      <c r="I13" s="29">
        <v>1</v>
      </c>
      <c r="J13" s="29">
        <v>1</v>
      </c>
      <c r="K13" s="29">
        <v>0</v>
      </c>
      <c r="L13" s="29">
        <v>0</v>
      </c>
      <c r="M13" s="29">
        <v>2</v>
      </c>
      <c r="N13" s="29">
        <v>2</v>
      </c>
      <c r="O13" s="28">
        <v>0</v>
      </c>
      <c r="P13" s="28">
        <v>0</v>
      </c>
    </row>
    <row r="14" spans="7:16">
      <c r="G14" s="86" t="s">
        <v>266</v>
      </c>
      <c r="H14" s="29">
        <v>0</v>
      </c>
      <c r="I14" s="29">
        <v>0</v>
      </c>
      <c r="J14" s="29">
        <v>0</v>
      </c>
      <c r="K14" s="29">
        <v>0</v>
      </c>
      <c r="L14" s="29">
        <v>1</v>
      </c>
      <c r="M14" s="29">
        <v>1</v>
      </c>
      <c r="N14" s="29">
        <v>1</v>
      </c>
      <c r="O14" s="28">
        <v>0</v>
      </c>
      <c r="P14" s="28">
        <v>0</v>
      </c>
    </row>
    <row r="15" spans="7:16">
      <c r="G15" s="86" t="s">
        <v>275</v>
      </c>
      <c r="H15" s="29">
        <v>0</v>
      </c>
      <c r="I15" s="29">
        <v>0</v>
      </c>
      <c r="J15" s="29">
        <v>0</v>
      </c>
      <c r="K15" s="29">
        <v>0</v>
      </c>
      <c r="L15" s="29">
        <v>1</v>
      </c>
      <c r="M15" s="29">
        <v>1</v>
      </c>
      <c r="N15" s="29">
        <v>2</v>
      </c>
      <c r="O15" s="28">
        <v>0</v>
      </c>
      <c r="P15" s="28">
        <v>0</v>
      </c>
    </row>
    <row r="16" spans="7:16">
      <c r="G16" s="86" t="s">
        <v>276</v>
      </c>
      <c r="H16" s="29">
        <v>0</v>
      </c>
      <c r="I16" s="29">
        <v>1</v>
      </c>
      <c r="J16" s="29">
        <v>0</v>
      </c>
      <c r="K16" s="29">
        <v>0</v>
      </c>
      <c r="L16" s="29">
        <v>1</v>
      </c>
      <c r="M16" s="29">
        <v>1</v>
      </c>
      <c r="N16" s="29">
        <v>1</v>
      </c>
      <c r="O16" s="28">
        <v>0</v>
      </c>
      <c r="P16" s="28">
        <v>0</v>
      </c>
    </row>
    <row r="17" spans="7:16">
      <c r="G17" s="86" t="s">
        <v>157</v>
      </c>
      <c r="H17" s="29">
        <v>0</v>
      </c>
      <c r="I17" s="29">
        <v>1</v>
      </c>
      <c r="J17" s="29">
        <v>0</v>
      </c>
      <c r="K17" s="29">
        <v>0</v>
      </c>
      <c r="L17" s="29">
        <v>0</v>
      </c>
      <c r="M17" s="29">
        <v>1</v>
      </c>
      <c r="N17" s="29">
        <v>1</v>
      </c>
      <c r="O17" s="28">
        <v>0</v>
      </c>
      <c r="P17" s="28">
        <v>0</v>
      </c>
    </row>
    <row r="18" spans="7:16">
      <c r="G18" s="86" t="s">
        <v>158</v>
      </c>
      <c r="H18" s="29">
        <v>0</v>
      </c>
      <c r="I18" s="29">
        <v>1</v>
      </c>
      <c r="J18" s="29">
        <v>0</v>
      </c>
      <c r="K18" s="29">
        <v>0</v>
      </c>
      <c r="L18" s="29">
        <v>0</v>
      </c>
      <c r="M18" s="29">
        <v>1</v>
      </c>
      <c r="N18" s="29">
        <v>1</v>
      </c>
      <c r="O18" s="28">
        <v>0</v>
      </c>
      <c r="P18" s="28">
        <v>0</v>
      </c>
    </row>
    <row r="19" spans="7:16">
      <c r="H19" s="297">
        <f>SUM(H4:J18)</f>
        <v>78</v>
      </c>
      <c r="I19" s="298"/>
      <c r="J19" s="299"/>
      <c r="K19" s="295">
        <f>SUM(K4:L18)</f>
        <v>8</v>
      </c>
      <c r="L19" s="295"/>
      <c r="M19" s="29">
        <f>SUM(M4:M18)</f>
        <v>34</v>
      </c>
      <c r="N19" s="29">
        <f>SUM(N4:N18)</f>
        <v>9</v>
      </c>
      <c r="O19" s="29">
        <f>SUM(O4:O18)</f>
        <v>6</v>
      </c>
      <c r="P19" s="29">
        <f>SUM(P4:P18)</f>
        <v>10</v>
      </c>
    </row>
    <row r="20" spans="7:16">
      <c r="H20" s="85"/>
      <c r="I20" s="85"/>
      <c r="J20" s="85"/>
      <c r="K20" s="85"/>
      <c r="L20" s="85"/>
      <c r="M20" s="85"/>
      <c r="N20" s="85"/>
      <c r="O20" s="85"/>
      <c r="P20" s="85"/>
    </row>
    <row r="21" spans="7:16">
      <c r="G21" s="300" t="s">
        <v>190</v>
      </c>
      <c r="H21" s="300"/>
      <c r="I21" s="300"/>
      <c r="J21" s="300"/>
      <c r="K21" s="300"/>
      <c r="L21" s="300"/>
      <c r="M21" s="300"/>
    </row>
    <row r="22" spans="7:16">
      <c r="G22" s="53" t="s">
        <v>164</v>
      </c>
      <c r="H22" s="53" t="s">
        <v>26</v>
      </c>
      <c r="I22" s="53" t="s">
        <v>187</v>
      </c>
      <c r="J22" s="78" t="s">
        <v>231</v>
      </c>
      <c r="K22" s="78" t="s">
        <v>230</v>
      </c>
      <c r="L22" s="53" t="s">
        <v>189</v>
      </c>
      <c r="M22" s="53" t="s">
        <v>188</v>
      </c>
    </row>
    <row r="23" spans="7:16">
      <c r="G23" s="53" t="s">
        <v>165</v>
      </c>
      <c r="H23" s="29">
        <v>0.3</v>
      </c>
      <c r="I23" s="29">
        <v>2</v>
      </c>
      <c r="J23" s="29">
        <f t="shared" ref="J23:J39" si="0">H23</f>
        <v>0.3</v>
      </c>
      <c r="K23" s="29">
        <v>0</v>
      </c>
      <c r="L23" s="29">
        <v>0</v>
      </c>
      <c r="M23" s="29">
        <f t="shared" ref="M23:M44" si="1">H23*I23</f>
        <v>0.6</v>
      </c>
    </row>
    <row r="24" spans="7:16">
      <c r="G24" s="53" t="s">
        <v>166</v>
      </c>
      <c r="H24" s="29">
        <v>3</v>
      </c>
      <c r="I24" s="29">
        <v>2</v>
      </c>
      <c r="J24" s="29">
        <f t="shared" si="0"/>
        <v>3</v>
      </c>
      <c r="K24" s="29">
        <v>0</v>
      </c>
      <c r="L24" s="29">
        <v>0</v>
      </c>
      <c r="M24" s="29">
        <f t="shared" si="1"/>
        <v>6</v>
      </c>
    </row>
    <row r="25" spans="7:16">
      <c r="G25" s="53" t="s">
        <v>167</v>
      </c>
      <c r="H25" s="29">
        <v>0.3</v>
      </c>
      <c r="I25" s="29">
        <v>2</v>
      </c>
      <c r="J25" s="29">
        <f t="shared" si="0"/>
        <v>0.3</v>
      </c>
      <c r="K25" s="29">
        <v>0</v>
      </c>
      <c r="L25" s="29">
        <v>0</v>
      </c>
      <c r="M25" s="29">
        <f t="shared" si="1"/>
        <v>0.6</v>
      </c>
    </row>
    <row r="26" spans="7:16">
      <c r="G26" s="53" t="s">
        <v>168</v>
      </c>
      <c r="H26" s="29">
        <v>0.3</v>
      </c>
      <c r="I26" s="29">
        <v>2</v>
      </c>
      <c r="J26" s="29">
        <f t="shared" si="0"/>
        <v>0.3</v>
      </c>
      <c r="K26" s="29">
        <v>0</v>
      </c>
      <c r="L26" s="29">
        <v>0</v>
      </c>
      <c r="M26" s="29">
        <f t="shared" si="1"/>
        <v>0.6</v>
      </c>
    </row>
    <row r="27" spans="7:16">
      <c r="G27" s="53" t="s">
        <v>169</v>
      </c>
      <c r="H27" s="29">
        <v>1</v>
      </c>
      <c r="I27" s="29">
        <v>2</v>
      </c>
      <c r="J27" s="29">
        <f t="shared" si="0"/>
        <v>1</v>
      </c>
      <c r="K27" s="29">
        <v>0</v>
      </c>
      <c r="L27" s="29">
        <v>0</v>
      </c>
      <c r="M27" s="29">
        <f t="shared" si="1"/>
        <v>2</v>
      </c>
    </row>
    <row r="28" spans="7:16">
      <c r="G28" s="53" t="s">
        <v>170</v>
      </c>
      <c r="H28" s="29">
        <v>1</v>
      </c>
      <c r="I28" s="29">
        <v>2</v>
      </c>
      <c r="J28" s="29">
        <f t="shared" si="0"/>
        <v>1</v>
      </c>
      <c r="K28" s="29">
        <v>0</v>
      </c>
      <c r="L28" s="29">
        <v>0</v>
      </c>
      <c r="M28" s="29">
        <f t="shared" si="1"/>
        <v>2</v>
      </c>
    </row>
    <row r="29" spans="7:16">
      <c r="G29" s="53" t="s">
        <v>171</v>
      </c>
      <c r="H29" s="29">
        <v>1.5</v>
      </c>
      <c r="I29" s="29">
        <v>2</v>
      </c>
      <c r="J29" s="29">
        <f t="shared" si="0"/>
        <v>1.5</v>
      </c>
      <c r="K29" s="29">
        <v>0</v>
      </c>
      <c r="L29" s="29">
        <v>0</v>
      </c>
      <c r="M29" s="29">
        <f t="shared" si="1"/>
        <v>3</v>
      </c>
    </row>
    <row r="30" spans="7:16">
      <c r="G30" s="53" t="s">
        <v>172</v>
      </c>
      <c r="H30" s="29">
        <v>1.5</v>
      </c>
      <c r="I30" s="29">
        <v>2</v>
      </c>
      <c r="J30" s="29">
        <f t="shared" si="0"/>
        <v>1.5</v>
      </c>
      <c r="K30" s="29">
        <v>0</v>
      </c>
      <c r="L30" s="29">
        <v>0</v>
      </c>
      <c r="M30" s="29">
        <f t="shared" si="1"/>
        <v>3</v>
      </c>
    </row>
    <row r="31" spans="7:16">
      <c r="G31" s="53" t="s">
        <v>173</v>
      </c>
      <c r="H31" s="29">
        <v>1.9</v>
      </c>
      <c r="I31" s="29">
        <v>2</v>
      </c>
      <c r="J31" s="29">
        <f t="shared" si="0"/>
        <v>1.9</v>
      </c>
      <c r="K31" s="29">
        <v>0</v>
      </c>
      <c r="L31" s="29">
        <v>0</v>
      </c>
      <c r="M31" s="29">
        <f t="shared" si="1"/>
        <v>3.8</v>
      </c>
    </row>
    <row r="32" spans="7:16">
      <c r="G32" s="53" t="s">
        <v>174</v>
      </c>
      <c r="H32" s="29">
        <v>1.9</v>
      </c>
      <c r="I32" s="29">
        <v>2</v>
      </c>
      <c r="J32" s="29">
        <f t="shared" si="0"/>
        <v>1.9</v>
      </c>
      <c r="K32" s="29">
        <v>0</v>
      </c>
      <c r="L32" s="29">
        <v>0</v>
      </c>
      <c r="M32" s="29">
        <f t="shared" si="1"/>
        <v>3.8</v>
      </c>
    </row>
    <row r="33" spans="7:13">
      <c r="G33" s="53" t="s">
        <v>175</v>
      </c>
      <c r="H33" s="29">
        <v>4.0999999999999996</v>
      </c>
      <c r="I33" s="29">
        <v>2</v>
      </c>
      <c r="J33" s="29">
        <f t="shared" si="0"/>
        <v>4.0999999999999996</v>
      </c>
      <c r="K33" s="29">
        <v>0</v>
      </c>
      <c r="L33" s="29">
        <v>0</v>
      </c>
      <c r="M33" s="29">
        <f t="shared" si="1"/>
        <v>8.1999999999999993</v>
      </c>
    </row>
    <row r="34" spans="7:13">
      <c r="G34" s="53" t="s">
        <v>176</v>
      </c>
      <c r="H34" s="29">
        <v>4.55</v>
      </c>
      <c r="I34" s="29">
        <v>2</v>
      </c>
      <c r="J34" s="29">
        <f t="shared" si="0"/>
        <v>4.55</v>
      </c>
      <c r="K34" s="29">
        <v>0</v>
      </c>
      <c r="L34" s="29">
        <v>0</v>
      </c>
      <c r="M34" s="29">
        <f t="shared" si="1"/>
        <v>9.1</v>
      </c>
    </row>
    <row r="35" spans="7:13">
      <c r="G35" s="53" t="s">
        <v>177</v>
      </c>
      <c r="H35" s="29">
        <v>0.3</v>
      </c>
      <c r="I35" s="29">
        <v>2</v>
      </c>
      <c r="J35" s="29">
        <f t="shared" si="0"/>
        <v>0.3</v>
      </c>
      <c r="K35" s="29">
        <v>0</v>
      </c>
      <c r="L35" s="29">
        <v>0</v>
      </c>
      <c r="M35" s="29">
        <f t="shared" si="1"/>
        <v>0.6</v>
      </c>
    </row>
    <row r="36" spans="7:13">
      <c r="G36" s="53" t="s">
        <v>178</v>
      </c>
      <c r="H36" s="29">
        <v>0.45</v>
      </c>
      <c r="I36" s="29">
        <v>2</v>
      </c>
      <c r="J36" s="29">
        <f t="shared" si="0"/>
        <v>0.45</v>
      </c>
      <c r="K36" s="29">
        <v>0</v>
      </c>
      <c r="L36" s="29">
        <v>0</v>
      </c>
      <c r="M36" s="29">
        <f t="shared" si="1"/>
        <v>0.9</v>
      </c>
    </row>
    <row r="37" spans="7:13">
      <c r="G37" s="53" t="s">
        <v>179</v>
      </c>
      <c r="H37" s="29">
        <v>1.3</v>
      </c>
      <c r="I37" s="29">
        <v>2</v>
      </c>
      <c r="J37" s="29">
        <f t="shared" si="0"/>
        <v>1.3</v>
      </c>
      <c r="K37" s="29">
        <v>0</v>
      </c>
      <c r="L37" s="29">
        <v>0</v>
      </c>
      <c r="M37" s="29">
        <f t="shared" si="1"/>
        <v>2.6</v>
      </c>
    </row>
    <row r="38" spans="7:13">
      <c r="G38" s="53" t="s">
        <v>180</v>
      </c>
      <c r="H38" s="29">
        <v>0.9</v>
      </c>
      <c r="I38" s="29">
        <v>2</v>
      </c>
      <c r="J38" s="29">
        <f t="shared" si="0"/>
        <v>0.9</v>
      </c>
      <c r="K38" s="29">
        <v>0</v>
      </c>
      <c r="L38" s="29">
        <v>0</v>
      </c>
      <c r="M38" s="29">
        <f t="shared" si="1"/>
        <v>1.8</v>
      </c>
    </row>
    <row r="39" spans="7:13">
      <c r="G39" s="53" t="s">
        <v>181</v>
      </c>
      <c r="H39" s="29">
        <v>0.9</v>
      </c>
      <c r="I39" s="29">
        <v>2</v>
      </c>
      <c r="J39" s="29">
        <f t="shared" si="0"/>
        <v>0.9</v>
      </c>
      <c r="K39" s="29">
        <v>0</v>
      </c>
      <c r="L39" s="29">
        <v>0</v>
      </c>
      <c r="M39" s="29">
        <f t="shared" si="1"/>
        <v>1.8</v>
      </c>
    </row>
    <row r="40" spans="7:13">
      <c r="G40" s="53" t="s">
        <v>182</v>
      </c>
      <c r="H40" s="29">
        <v>8.5500000000000007</v>
      </c>
      <c r="I40" s="29">
        <v>8</v>
      </c>
      <c r="J40" s="29">
        <v>0</v>
      </c>
      <c r="K40" s="29">
        <f>H40</f>
        <v>8.5500000000000007</v>
      </c>
      <c r="L40" s="29">
        <v>0</v>
      </c>
      <c r="M40" s="29">
        <f t="shared" si="1"/>
        <v>68.400000000000006</v>
      </c>
    </row>
    <row r="41" spans="7:13">
      <c r="G41" s="53" t="s">
        <v>183</v>
      </c>
      <c r="H41" s="29">
        <v>4.4000000000000004</v>
      </c>
      <c r="I41" s="29">
        <v>2</v>
      </c>
      <c r="J41" s="29">
        <v>0</v>
      </c>
      <c r="K41" s="29">
        <f>H41</f>
        <v>4.4000000000000004</v>
      </c>
      <c r="L41" s="29">
        <v>0</v>
      </c>
      <c r="M41" s="29">
        <f t="shared" si="1"/>
        <v>8.8000000000000007</v>
      </c>
    </row>
    <row r="42" spans="7:13">
      <c r="G42" s="53" t="s">
        <v>184</v>
      </c>
      <c r="H42" s="29">
        <v>14.9</v>
      </c>
      <c r="I42" s="29">
        <v>2</v>
      </c>
      <c r="J42" s="29">
        <v>0</v>
      </c>
      <c r="K42" s="29">
        <f>H42</f>
        <v>14.9</v>
      </c>
      <c r="L42" s="29">
        <v>0</v>
      </c>
      <c r="M42" s="29">
        <f t="shared" si="1"/>
        <v>29.8</v>
      </c>
    </row>
    <row r="43" spans="7:13">
      <c r="G43" s="53" t="s">
        <v>185</v>
      </c>
      <c r="H43" s="29">
        <v>8.9499999999999993</v>
      </c>
      <c r="I43" s="29">
        <v>2</v>
      </c>
      <c r="J43" s="29">
        <v>0</v>
      </c>
      <c r="K43" s="29">
        <f>H43</f>
        <v>8.9499999999999993</v>
      </c>
      <c r="L43" s="29">
        <v>0</v>
      </c>
      <c r="M43" s="29">
        <f t="shared" si="1"/>
        <v>17.899999999999999</v>
      </c>
    </row>
    <row r="44" spans="7:13">
      <c r="G44" s="78" t="s">
        <v>186</v>
      </c>
      <c r="H44" s="29">
        <v>4.2</v>
      </c>
      <c r="I44" s="29">
        <f>SUM(I23:I43)</f>
        <v>48</v>
      </c>
      <c r="J44" s="29">
        <v>0</v>
      </c>
      <c r="K44" s="29">
        <f>H44</f>
        <v>4.2</v>
      </c>
      <c r="L44" s="29">
        <v>0</v>
      </c>
      <c r="M44" s="29">
        <f t="shared" si="1"/>
        <v>201.60000000000002</v>
      </c>
    </row>
    <row r="45" spans="7:13">
      <c r="J45" s="56">
        <f>ROUNDUP(SUM(J23:J44),0)</f>
        <v>26</v>
      </c>
      <c r="K45" s="56">
        <f t="shared" ref="K45:M45" si="2">ROUNDUP(SUM(K23:K44),0)</f>
        <v>41</v>
      </c>
      <c r="L45" s="56">
        <v>0</v>
      </c>
      <c r="M45" s="56">
        <f t="shared" si="2"/>
        <v>377</v>
      </c>
    </row>
    <row r="49" spans="7:13">
      <c r="G49" s="293" t="s">
        <v>191</v>
      </c>
      <c r="H49" s="293"/>
      <c r="I49" s="293"/>
      <c r="J49" s="293"/>
      <c r="K49" s="293"/>
      <c r="L49" s="293"/>
      <c r="M49" s="293"/>
    </row>
    <row r="50" spans="7:13">
      <c r="G50" s="53" t="s">
        <v>164</v>
      </c>
      <c r="H50" s="53" t="s">
        <v>26</v>
      </c>
      <c r="I50" s="53" t="s">
        <v>187</v>
      </c>
      <c r="J50" s="53" t="s">
        <v>230</v>
      </c>
      <c r="K50" s="53" t="s">
        <v>231</v>
      </c>
      <c r="L50" s="53" t="s">
        <v>189</v>
      </c>
      <c r="M50" s="53" t="s">
        <v>188</v>
      </c>
    </row>
    <row r="51" spans="7:13">
      <c r="G51" s="53" t="s">
        <v>192</v>
      </c>
      <c r="H51" s="29">
        <f>18.2+1</f>
        <v>19.2</v>
      </c>
      <c r="I51" s="29">
        <v>3</v>
      </c>
      <c r="J51" s="29">
        <v>0</v>
      </c>
      <c r="K51" s="29">
        <v>0</v>
      </c>
      <c r="L51" s="29">
        <f>H51</f>
        <v>19.2</v>
      </c>
      <c r="M51" s="29">
        <f>I51*(J51+K51+L51)</f>
        <v>57.599999999999994</v>
      </c>
    </row>
    <row r="52" spans="7:13">
      <c r="G52" s="53" t="s">
        <v>193</v>
      </c>
      <c r="H52" s="29">
        <f>14.4+1.5</f>
        <v>15.9</v>
      </c>
      <c r="I52" s="29">
        <v>3</v>
      </c>
      <c r="J52" s="29">
        <v>0</v>
      </c>
      <c r="K52" s="29">
        <v>0</v>
      </c>
      <c r="L52" s="29">
        <f t="shared" ref="L52:L101" si="3">H52</f>
        <v>15.9</v>
      </c>
      <c r="M52" s="29">
        <f t="shared" ref="M52:M101" si="4">I52*(J52+K52+L52)</f>
        <v>47.7</v>
      </c>
    </row>
    <row r="53" spans="7:13">
      <c r="G53" s="53" t="s">
        <v>194</v>
      </c>
      <c r="H53" s="29">
        <f>11.7+1.5</f>
        <v>13.2</v>
      </c>
      <c r="I53" s="29">
        <v>3</v>
      </c>
      <c r="J53" s="29">
        <v>0</v>
      </c>
      <c r="K53" s="29">
        <v>0</v>
      </c>
      <c r="L53" s="29">
        <f t="shared" si="3"/>
        <v>13.2</v>
      </c>
      <c r="M53" s="29">
        <f t="shared" si="4"/>
        <v>39.599999999999994</v>
      </c>
    </row>
    <row r="54" spans="7:13">
      <c r="G54" s="53" t="s">
        <v>195</v>
      </c>
      <c r="H54" s="29">
        <f>15+1</f>
        <v>16</v>
      </c>
      <c r="I54" s="29">
        <v>3</v>
      </c>
      <c r="J54" s="29">
        <v>0</v>
      </c>
      <c r="K54" s="29">
        <v>0</v>
      </c>
      <c r="L54" s="29">
        <f t="shared" si="3"/>
        <v>16</v>
      </c>
      <c r="M54" s="29">
        <f t="shared" si="4"/>
        <v>48</v>
      </c>
    </row>
    <row r="55" spans="7:13">
      <c r="G55" s="53" t="s">
        <v>196</v>
      </c>
      <c r="H55" s="29">
        <f>14.7+1.5</f>
        <v>16.2</v>
      </c>
      <c r="I55" s="29">
        <v>3</v>
      </c>
      <c r="J55" s="29">
        <v>0</v>
      </c>
      <c r="K55" s="29">
        <v>0</v>
      </c>
      <c r="L55" s="29">
        <f t="shared" si="3"/>
        <v>16.2</v>
      </c>
      <c r="M55" s="29">
        <f t="shared" si="4"/>
        <v>48.599999999999994</v>
      </c>
    </row>
    <row r="56" spans="7:13">
      <c r="G56" s="53" t="s">
        <v>197</v>
      </c>
      <c r="H56" s="29">
        <f>12+1.5</f>
        <v>13.5</v>
      </c>
      <c r="I56" s="29">
        <v>3</v>
      </c>
      <c r="J56" s="29">
        <v>0</v>
      </c>
      <c r="K56" s="29">
        <v>0</v>
      </c>
      <c r="L56" s="29">
        <f t="shared" si="3"/>
        <v>13.5</v>
      </c>
      <c r="M56" s="29">
        <f t="shared" si="4"/>
        <v>40.5</v>
      </c>
    </row>
    <row r="57" spans="7:13">
      <c r="G57" s="53" t="s">
        <v>198</v>
      </c>
      <c r="H57" s="29">
        <f>13.9+1.5</f>
        <v>15.4</v>
      </c>
      <c r="I57" s="29">
        <v>3</v>
      </c>
      <c r="J57" s="29">
        <v>0</v>
      </c>
      <c r="K57" s="29">
        <v>0</v>
      </c>
      <c r="L57" s="29">
        <f t="shared" si="3"/>
        <v>15.4</v>
      </c>
      <c r="M57" s="29">
        <f t="shared" si="4"/>
        <v>46.2</v>
      </c>
    </row>
    <row r="58" spans="7:13">
      <c r="G58" s="53" t="s">
        <v>199</v>
      </c>
      <c r="H58" s="29">
        <f>14.6+1</f>
        <v>15.6</v>
      </c>
      <c r="I58" s="29">
        <v>3</v>
      </c>
      <c r="J58" s="29">
        <v>0</v>
      </c>
      <c r="K58" s="29">
        <v>0</v>
      </c>
      <c r="L58" s="29">
        <f t="shared" si="3"/>
        <v>15.6</v>
      </c>
      <c r="M58" s="29">
        <f t="shared" si="4"/>
        <v>46.8</v>
      </c>
    </row>
    <row r="59" spans="7:13">
      <c r="G59" s="53" t="s">
        <v>200</v>
      </c>
      <c r="H59" s="29">
        <f>9+1.5</f>
        <v>10.5</v>
      </c>
      <c r="I59" s="29">
        <v>3</v>
      </c>
      <c r="J59" s="29">
        <v>0</v>
      </c>
      <c r="K59" s="29">
        <v>0</v>
      </c>
      <c r="L59" s="29">
        <f t="shared" si="3"/>
        <v>10.5</v>
      </c>
      <c r="M59" s="29">
        <f t="shared" si="4"/>
        <v>31.5</v>
      </c>
    </row>
    <row r="60" spans="7:13">
      <c r="G60" s="53" t="s">
        <v>201</v>
      </c>
      <c r="H60" s="29">
        <f>6.65+1.5</f>
        <v>8.15</v>
      </c>
      <c r="I60" s="29">
        <v>3</v>
      </c>
      <c r="J60" s="29">
        <v>0</v>
      </c>
      <c r="K60" s="29">
        <v>0</v>
      </c>
      <c r="L60" s="29">
        <f t="shared" si="3"/>
        <v>8.15</v>
      </c>
      <c r="M60" s="29">
        <f t="shared" si="4"/>
        <v>24.450000000000003</v>
      </c>
    </row>
    <row r="61" spans="7:13">
      <c r="G61" s="53" t="s">
        <v>202</v>
      </c>
      <c r="H61" s="29">
        <f>6.2+1.5</f>
        <v>7.7</v>
      </c>
      <c r="I61" s="29">
        <v>3</v>
      </c>
      <c r="J61" s="29">
        <v>0</v>
      </c>
      <c r="K61" s="29">
        <v>0</v>
      </c>
      <c r="L61" s="29">
        <f t="shared" si="3"/>
        <v>7.7</v>
      </c>
      <c r="M61" s="29">
        <f t="shared" si="4"/>
        <v>23.1</v>
      </c>
    </row>
    <row r="62" spans="7:13">
      <c r="G62" s="53" t="s">
        <v>203</v>
      </c>
      <c r="H62" s="29">
        <f>6.95+1.5</f>
        <v>8.4499999999999993</v>
      </c>
      <c r="I62" s="29">
        <v>3</v>
      </c>
      <c r="J62" s="29">
        <v>0</v>
      </c>
      <c r="K62" s="29">
        <v>0</v>
      </c>
      <c r="L62" s="29">
        <f t="shared" si="3"/>
        <v>8.4499999999999993</v>
      </c>
      <c r="M62" s="29">
        <f t="shared" si="4"/>
        <v>25.349999999999998</v>
      </c>
    </row>
    <row r="63" spans="7:13">
      <c r="G63" s="53" t="s">
        <v>204</v>
      </c>
      <c r="H63" s="29">
        <f>6.95+1.5</f>
        <v>8.4499999999999993</v>
      </c>
      <c r="I63" s="29">
        <v>3</v>
      </c>
      <c r="J63" s="29">
        <v>0</v>
      </c>
      <c r="K63" s="29">
        <v>0</v>
      </c>
      <c r="L63" s="29">
        <f t="shared" si="3"/>
        <v>8.4499999999999993</v>
      </c>
      <c r="M63" s="29">
        <f t="shared" si="4"/>
        <v>25.349999999999998</v>
      </c>
    </row>
    <row r="64" spans="7:13">
      <c r="G64" s="53" t="s">
        <v>205</v>
      </c>
      <c r="H64" s="29">
        <f>9+1.5</f>
        <v>10.5</v>
      </c>
      <c r="I64" s="29">
        <v>3</v>
      </c>
      <c r="J64" s="29">
        <v>0</v>
      </c>
      <c r="K64" s="29">
        <v>0</v>
      </c>
      <c r="L64" s="29">
        <f t="shared" si="3"/>
        <v>10.5</v>
      </c>
      <c r="M64" s="29">
        <f t="shared" si="4"/>
        <v>31.5</v>
      </c>
    </row>
    <row r="65" spans="7:13">
      <c r="G65" s="53" t="s">
        <v>206</v>
      </c>
      <c r="H65" s="29">
        <f>9+1.5</f>
        <v>10.5</v>
      </c>
      <c r="I65" s="29">
        <v>3</v>
      </c>
      <c r="J65" s="29">
        <v>0</v>
      </c>
      <c r="K65" s="29">
        <v>0</v>
      </c>
      <c r="L65" s="29">
        <f t="shared" si="3"/>
        <v>10.5</v>
      </c>
      <c r="M65" s="29">
        <f t="shared" si="4"/>
        <v>31.5</v>
      </c>
    </row>
    <row r="66" spans="7:13">
      <c r="G66" s="53" t="s">
        <v>207</v>
      </c>
      <c r="H66" s="29">
        <f>11.55+1.5</f>
        <v>13.05</v>
      </c>
      <c r="I66" s="29">
        <v>3</v>
      </c>
      <c r="J66" s="29">
        <v>0</v>
      </c>
      <c r="K66" s="29">
        <v>0</v>
      </c>
      <c r="L66" s="29">
        <f t="shared" si="3"/>
        <v>13.05</v>
      </c>
      <c r="M66" s="29">
        <f t="shared" si="4"/>
        <v>39.150000000000006</v>
      </c>
    </row>
    <row r="67" spans="7:13">
      <c r="G67" s="53" t="s">
        <v>208</v>
      </c>
      <c r="H67" s="29">
        <f>12.8+1.5</f>
        <v>14.3</v>
      </c>
      <c r="I67" s="29">
        <v>3</v>
      </c>
      <c r="J67" s="29">
        <v>0</v>
      </c>
      <c r="K67" s="29">
        <v>0</v>
      </c>
      <c r="L67" s="29">
        <f t="shared" si="3"/>
        <v>14.3</v>
      </c>
      <c r="M67" s="29">
        <f t="shared" si="4"/>
        <v>42.900000000000006</v>
      </c>
    </row>
    <row r="68" spans="7:13">
      <c r="G68" s="53" t="s">
        <v>209</v>
      </c>
      <c r="H68" s="29">
        <f>12.15+1</f>
        <v>13.15</v>
      </c>
      <c r="I68" s="29">
        <v>3</v>
      </c>
      <c r="J68" s="29">
        <v>0</v>
      </c>
      <c r="K68" s="29">
        <v>0</v>
      </c>
      <c r="L68" s="29">
        <f t="shared" si="3"/>
        <v>13.15</v>
      </c>
      <c r="M68" s="29">
        <f t="shared" si="4"/>
        <v>39.450000000000003</v>
      </c>
    </row>
    <row r="69" spans="7:13">
      <c r="G69" s="53" t="s">
        <v>210</v>
      </c>
      <c r="H69" s="29">
        <f>12.4+1</f>
        <v>13.4</v>
      </c>
      <c r="I69" s="29">
        <v>3</v>
      </c>
      <c r="J69" s="29">
        <v>0</v>
      </c>
      <c r="K69" s="29">
        <v>0</v>
      </c>
      <c r="L69" s="29">
        <f t="shared" si="3"/>
        <v>13.4</v>
      </c>
      <c r="M69" s="29">
        <f t="shared" si="4"/>
        <v>40.200000000000003</v>
      </c>
    </row>
    <row r="70" spans="7:13">
      <c r="G70" s="53" t="s">
        <v>211</v>
      </c>
      <c r="H70" s="29">
        <f>14.25+1</f>
        <v>15.25</v>
      </c>
      <c r="I70" s="29">
        <v>3</v>
      </c>
      <c r="J70" s="29">
        <v>0</v>
      </c>
      <c r="K70" s="29">
        <v>0</v>
      </c>
      <c r="L70" s="29">
        <f t="shared" si="3"/>
        <v>15.25</v>
      </c>
      <c r="M70" s="29">
        <f t="shared" si="4"/>
        <v>45.75</v>
      </c>
    </row>
    <row r="71" spans="7:13">
      <c r="G71" s="53" t="s">
        <v>212</v>
      </c>
      <c r="H71" s="29">
        <f>14.45+1</f>
        <v>15.45</v>
      </c>
      <c r="I71" s="29">
        <v>3</v>
      </c>
      <c r="J71" s="29">
        <v>0</v>
      </c>
      <c r="K71" s="29">
        <v>0</v>
      </c>
      <c r="L71" s="29">
        <f t="shared" si="3"/>
        <v>15.45</v>
      </c>
      <c r="M71" s="29">
        <f t="shared" si="4"/>
        <v>46.349999999999994</v>
      </c>
    </row>
    <row r="72" spans="7:13">
      <c r="G72" s="53" t="s">
        <v>213</v>
      </c>
      <c r="H72" s="29">
        <f>13.9+1</f>
        <v>14.9</v>
      </c>
      <c r="I72" s="29">
        <v>3</v>
      </c>
      <c r="J72" s="29">
        <v>0</v>
      </c>
      <c r="K72" s="29">
        <v>0</v>
      </c>
      <c r="L72" s="29">
        <f t="shared" si="3"/>
        <v>14.9</v>
      </c>
      <c r="M72" s="29">
        <f t="shared" si="4"/>
        <v>44.7</v>
      </c>
    </row>
    <row r="73" spans="7:13">
      <c r="G73" s="53" t="s">
        <v>214</v>
      </c>
      <c r="H73" s="29">
        <f>14.15+1</f>
        <v>15.15</v>
      </c>
      <c r="I73" s="29">
        <v>3</v>
      </c>
      <c r="J73" s="29">
        <v>0</v>
      </c>
      <c r="K73" s="29">
        <v>0</v>
      </c>
      <c r="L73" s="29">
        <f t="shared" si="3"/>
        <v>15.15</v>
      </c>
      <c r="M73" s="29">
        <f t="shared" si="4"/>
        <v>45.45</v>
      </c>
    </row>
    <row r="74" spans="7:13">
      <c r="G74" s="53" t="s">
        <v>215</v>
      </c>
      <c r="H74" s="29">
        <f>15.65+1</f>
        <v>16.649999999999999</v>
      </c>
      <c r="I74" s="29">
        <v>3</v>
      </c>
      <c r="J74" s="29">
        <v>0</v>
      </c>
      <c r="K74" s="29">
        <v>0</v>
      </c>
      <c r="L74" s="29">
        <f t="shared" si="3"/>
        <v>16.649999999999999</v>
      </c>
      <c r="M74" s="29">
        <f t="shared" si="4"/>
        <v>49.949999999999996</v>
      </c>
    </row>
    <row r="75" spans="7:13">
      <c r="G75" s="53" t="s">
        <v>216</v>
      </c>
      <c r="H75" s="29">
        <f>15.85+1</f>
        <v>16.850000000000001</v>
      </c>
      <c r="I75" s="29">
        <v>3</v>
      </c>
      <c r="J75" s="29">
        <v>0</v>
      </c>
      <c r="K75" s="29">
        <v>0</v>
      </c>
      <c r="L75" s="29">
        <f t="shared" si="3"/>
        <v>16.850000000000001</v>
      </c>
      <c r="M75" s="29">
        <f t="shared" si="4"/>
        <v>50.550000000000004</v>
      </c>
    </row>
    <row r="76" spans="7:13">
      <c r="G76" s="53" t="s">
        <v>217</v>
      </c>
      <c r="H76" s="29">
        <f>17.4+1</f>
        <v>18.399999999999999</v>
      </c>
      <c r="I76" s="29">
        <v>3</v>
      </c>
      <c r="J76" s="29">
        <v>0</v>
      </c>
      <c r="K76" s="29">
        <v>0</v>
      </c>
      <c r="L76" s="29">
        <f t="shared" si="3"/>
        <v>18.399999999999999</v>
      </c>
      <c r="M76" s="29">
        <f t="shared" si="4"/>
        <v>55.199999999999996</v>
      </c>
    </row>
    <row r="77" spans="7:13">
      <c r="G77" s="53" t="s">
        <v>218</v>
      </c>
      <c r="H77" s="29">
        <f>17.6+1</f>
        <v>18.600000000000001</v>
      </c>
      <c r="I77" s="29">
        <v>3</v>
      </c>
      <c r="J77" s="29">
        <v>0</v>
      </c>
      <c r="K77" s="29">
        <v>0</v>
      </c>
      <c r="L77" s="29">
        <f t="shared" si="3"/>
        <v>18.600000000000001</v>
      </c>
      <c r="M77" s="29">
        <f t="shared" si="4"/>
        <v>55.800000000000004</v>
      </c>
    </row>
    <row r="78" spans="7:13">
      <c r="G78" s="53" t="s">
        <v>219</v>
      </c>
      <c r="H78" s="29">
        <f>19.4+1</f>
        <v>20.399999999999999</v>
      </c>
      <c r="I78" s="29">
        <v>3</v>
      </c>
      <c r="J78" s="29">
        <v>0</v>
      </c>
      <c r="K78" s="29">
        <v>0</v>
      </c>
      <c r="L78" s="29">
        <f t="shared" si="3"/>
        <v>20.399999999999999</v>
      </c>
      <c r="M78" s="29">
        <f t="shared" si="4"/>
        <v>61.199999999999996</v>
      </c>
    </row>
    <row r="79" spans="7:13">
      <c r="G79" s="53" t="s">
        <v>220</v>
      </c>
      <c r="H79" s="29">
        <f>20.3+1</f>
        <v>21.3</v>
      </c>
      <c r="I79" s="29">
        <v>3</v>
      </c>
      <c r="J79" s="29">
        <v>0</v>
      </c>
      <c r="K79" s="29">
        <v>0</v>
      </c>
      <c r="L79" s="29">
        <f t="shared" si="3"/>
        <v>21.3</v>
      </c>
      <c r="M79" s="29">
        <f t="shared" si="4"/>
        <v>63.900000000000006</v>
      </c>
    </row>
    <row r="80" spans="7:13">
      <c r="G80" s="53" t="s">
        <v>221</v>
      </c>
      <c r="H80" s="29">
        <f>20.7+1</f>
        <v>21.7</v>
      </c>
      <c r="I80" s="29">
        <v>3</v>
      </c>
      <c r="J80" s="29">
        <v>0</v>
      </c>
      <c r="K80" s="29">
        <v>0</v>
      </c>
      <c r="L80" s="29">
        <f t="shared" si="3"/>
        <v>21.7</v>
      </c>
      <c r="M80" s="29">
        <f t="shared" si="4"/>
        <v>65.099999999999994</v>
      </c>
    </row>
    <row r="81" spans="7:13">
      <c r="G81" s="53" t="s">
        <v>222</v>
      </c>
      <c r="H81" s="29">
        <f>23.15+1.5</f>
        <v>24.65</v>
      </c>
      <c r="I81" s="29">
        <v>3</v>
      </c>
      <c r="J81" s="29">
        <v>0</v>
      </c>
      <c r="K81" s="29">
        <v>0</v>
      </c>
      <c r="L81" s="29">
        <f t="shared" si="3"/>
        <v>24.65</v>
      </c>
      <c r="M81" s="29">
        <f t="shared" si="4"/>
        <v>73.949999999999989</v>
      </c>
    </row>
    <row r="82" spans="7:13">
      <c r="G82" s="53" t="s">
        <v>223</v>
      </c>
      <c r="H82" s="29">
        <f>25.75+1.5</f>
        <v>27.25</v>
      </c>
      <c r="I82" s="29">
        <v>3</v>
      </c>
      <c r="J82" s="29">
        <v>0</v>
      </c>
      <c r="K82" s="29">
        <v>0</v>
      </c>
      <c r="L82" s="29">
        <f t="shared" si="3"/>
        <v>27.25</v>
      </c>
      <c r="M82" s="29">
        <f t="shared" si="4"/>
        <v>81.75</v>
      </c>
    </row>
    <row r="83" spans="7:13">
      <c r="G83" s="53" t="s">
        <v>224</v>
      </c>
      <c r="H83" s="29">
        <f>8.05+1.5</f>
        <v>9.5500000000000007</v>
      </c>
      <c r="I83" s="29">
        <v>3</v>
      </c>
      <c r="J83" s="29">
        <v>0</v>
      </c>
      <c r="K83" s="29">
        <v>0</v>
      </c>
      <c r="L83" s="29">
        <f t="shared" si="3"/>
        <v>9.5500000000000007</v>
      </c>
      <c r="M83" s="29">
        <f t="shared" si="4"/>
        <v>28.650000000000002</v>
      </c>
    </row>
    <row r="84" spans="7:13">
      <c r="G84" s="53" t="s">
        <v>225</v>
      </c>
      <c r="H84" s="29">
        <f>11.35+1.5</f>
        <v>12.85</v>
      </c>
      <c r="I84" s="29">
        <v>3</v>
      </c>
      <c r="J84" s="29">
        <v>0</v>
      </c>
      <c r="K84" s="29">
        <v>0</v>
      </c>
      <c r="L84" s="29">
        <f t="shared" si="3"/>
        <v>12.85</v>
      </c>
      <c r="M84" s="29">
        <f t="shared" si="4"/>
        <v>38.549999999999997</v>
      </c>
    </row>
    <row r="85" spans="7:13">
      <c r="G85" s="53" t="s">
        <v>226</v>
      </c>
      <c r="H85" s="29">
        <f>13.15+1.5</f>
        <v>14.65</v>
      </c>
      <c r="I85" s="29">
        <v>3</v>
      </c>
      <c r="J85" s="29">
        <v>0</v>
      </c>
      <c r="K85" s="29">
        <v>0</v>
      </c>
      <c r="L85" s="29">
        <f t="shared" si="3"/>
        <v>14.65</v>
      </c>
      <c r="M85" s="29">
        <f t="shared" si="4"/>
        <v>43.95</v>
      </c>
    </row>
    <row r="86" spans="7:13">
      <c r="G86" s="53" t="s">
        <v>227</v>
      </c>
      <c r="H86" s="29">
        <f>13.4+1</f>
        <v>14.4</v>
      </c>
      <c r="I86" s="29">
        <v>3</v>
      </c>
      <c r="J86" s="29">
        <v>0</v>
      </c>
      <c r="K86" s="29">
        <v>0</v>
      </c>
      <c r="L86" s="29">
        <f t="shared" si="3"/>
        <v>14.4</v>
      </c>
      <c r="M86" s="29">
        <f t="shared" si="4"/>
        <v>43.2</v>
      </c>
    </row>
    <row r="87" spans="7:13">
      <c r="G87" s="53" t="s">
        <v>228</v>
      </c>
      <c r="H87" s="29">
        <f>13.7+1</f>
        <v>14.7</v>
      </c>
      <c r="I87" s="29">
        <v>3</v>
      </c>
      <c r="J87" s="29">
        <v>0</v>
      </c>
      <c r="K87" s="29">
        <v>0</v>
      </c>
      <c r="L87" s="29">
        <f t="shared" si="3"/>
        <v>14.7</v>
      </c>
      <c r="M87" s="29">
        <f t="shared" si="4"/>
        <v>44.099999999999994</v>
      </c>
    </row>
    <row r="88" spans="7:13">
      <c r="G88" s="53" t="s">
        <v>229</v>
      </c>
      <c r="H88" s="29">
        <f>13.6+1.5</f>
        <v>15.1</v>
      </c>
      <c r="I88" s="29">
        <v>3</v>
      </c>
      <c r="J88" s="29">
        <v>0</v>
      </c>
      <c r="K88" s="29">
        <v>0</v>
      </c>
      <c r="L88" s="29">
        <f t="shared" si="3"/>
        <v>15.1</v>
      </c>
      <c r="M88" s="29">
        <f t="shared" si="4"/>
        <v>45.3</v>
      </c>
    </row>
    <row r="89" spans="7:13">
      <c r="G89" s="78" t="s">
        <v>317</v>
      </c>
      <c r="H89" s="29">
        <f>13.9+1.5</f>
        <v>15.4</v>
      </c>
      <c r="I89" s="29">
        <v>3</v>
      </c>
      <c r="J89" s="29">
        <v>0</v>
      </c>
      <c r="K89" s="29">
        <v>0</v>
      </c>
      <c r="L89" s="29">
        <f t="shared" si="3"/>
        <v>15.4</v>
      </c>
      <c r="M89" s="29">
        <f t="shared" si="4"/>
        <v>46.2</v>
      </c>
    </row>
    <row r="90" spans="7:13">
      <c r="G90" s="78" t="s">
        <v>318</v>
      </c>
      <c r="H90" s="29">
        <f>16.4+1.5</f>
        <v>17.899999999999999</v>
      </c>
      <c r="I90" s="29">
        <v>3</v>
      </c>
      <c r="J90" s="29">
        <v>0</v>
      </c>
      <c r="K90" s="29">
        <v>0</v>
      </c>
      <c r="L90" s="29">
        <f t="shared" si="3"/>
        <v>17.899999999999999</v>
      </c>
      <c r="M90" s="29">
        <f t="shared" si="4"/>
        <v>53.699999999999996</v>
      </c>
    </row>
    <row r="91" spans="7:13">
      <c r="G91" s="78" t="s">
        <v>319</v>
      </c>
      <c r="H91" s="29">
        <f>2.3+1</f>
        <v>3.3</v>
      </c>
      <c r="I91" s="29">
        <v>3</v>
      </c>
      <c r="J91" s="29">
        <v>0</v>
      </c>
      <c r="K91" s="29">
        <v>0</v>
      </c>
      <c r="L91" s="29">
        <f t="shared" si="3"/>
        <v>3.3</v>
      </c>
      <c r="M91" s="29">
        <f t="shared" si="4"/>
        <v>9.8999999999999986</v>
      </c>
    </row>
    <row r="92" spans="7:13">
      <c r="G92" s="78" t="s">
        <v>320</v>
      </c>
      <c r="H92" s="29">
        <f>5.25+1.5</f>
        <v>6.75</v>
      </c>
      <c r="I92" s="29">
        <v>3</v>
      </c>
      <c r="J92" s="29">
        <v>0</v>
      </c>
      <c r="K92" s="29">
        <v>0</v>
      </c>
      <c r="L92" s="29">
        <f t="shared" si="3"/>
        <v>6.75</v>
      </c>
      <c r="M92" s="29">
        <f t="shared" si="4"/>
        <v>20.25</v>
      </c>
    </row>
    <row r="93" spans="7:13">
      <c r="G93" s="78" t="s">
        <v>321</v>
      </c>
      <c r="H93" s="29">
        <f>4.55+1.5</f>
        <v>6.05</v>
      </c>
      <c r="I93" s="29">
        <v>3</v>
      </c>
      <c r="J93" s="29">
        <v>0</v>
      </c>
      <c r="K93" s="29">
        <v>0</v>
      </c>
      <c r="L93" s="29">
        <f t="shared" si="3"/>
        <v>6.05</v>
      </c>
      <c r="M93" s="29">
        <f t="shared" si="4"/>
        <v>18.149999999999999</v>
      </c>
    </row>
    <row r="94" spans="7:13">
      <c r="G94" s="78" t="s">
        <v>322</v>
      </c>
      <c r="H94" s="29">
        <f>7.25+1.5</f>
        <v>8.75</v>
      </c>
      <c r="I94" s="29">
        <v>3</v>
      </c>
      <c r="J94" s="29">
        <v>0</v>
      </c>
      <c r="K94" s="29">
        <v>0</v>
      </c>
      <c r="L94" s="29">
        <f t="shared" si="3"/>
        <v>8.75</v>
      </c>
      <c r="M94" s="29">
        <f t="shared" si="4"/>
        <v>26.25</v>
      </c>
    </row>
    <row r="95" spans="7:13">
      <c r="G95" s="78" t="s">
        <v>323</v>
      </c>
      <c r="H95" s="29">
        <f>10.2+1.5</f>
        <v>11.7</v>
      </c>
      <c r="I95" s="29">
        <v>3</v>
      </c>
      <c r="J95" s="29">
        <v>0</v>
      </c>
      <c r="K95" s="29">
        <v>0</v>
      </c>
      <c r="L95" s="29">
        <f t="shared" si="3"/>
        <v>11.7</v>
      </c>
      <c r="M95" s="29">
        <f t="shared" si="4"/>
        <v>35.099999999999994</v>
      </c>
    </row>
    <row r="96" spans="7:13">
      <c r="G96" s="78" t="s">
        <v>324</v>
      </c>
      <c r="H96" s="29">
        <f>10.45+1.5</f>
        <v>11.95</v>
      </c>
      <c r="I96" s="29">
        <v>3</v>
      </c>
      <c r="J96" s="29">
        <v>0</v>
      </c>
      <c r="K96" s="29">
        <v>0</v>
      </c>
      <c r="L96" s="29">
        <f t="shared" si="3"/>
        <v>11.95</v>
      </c>
      <c r="M96" s="29">
        <f t="shared" si="4"/>
        <v>35.849999999999994</v>
      </c>
    </row>
    <row r="97" spans="7:13">
      <c r="G97" s="78" t="s">
        <v>325</v>
      </c>
      <c r="H97" s="29">
        <f>12.4+1.5</f>
        <v>13.9</v>
      </c>
      <c r="I97" s="29">
        <v>6</v>
      </c>
      <c r="J97" s="29">
        <v>0</v>
      </c>
      <c r="K97" s="29">
        <v>0</v>
      </c>
      <c r="L97" s="29">
        <f t="shared" si="3"/>
        <v>13.9</v>
      </c>
      <c r="M97" s="29">
        <f t="shared" si="4"/>
        <v>83.4</v>
      </c>
    </row>
    <row r="98" spans="7:13">
      <c r="G98" s="78" t="s">
        <v>326</v>
      </c>
      <c r="H98" s="29">
        <f>13+1.5</f>
        <v>14.5</v>
      </c>
      <c r="I98" s="29">
        <v>6</v>
      </c>
      <c r="J98" s="29">
        <v>0</v>
      </c>
      <c r="K98" s="29">
        <v>0</v>
      </c>
      <c r="L98" s="29">
        <f t="shared" si="3"/>
        <v>14.5</v>
      </c>
      <c r="M98" s="29">
        <f t="shared" si="4"/>
        <v>87</v>
      </c>
    </row>
    <row r="99" spans="7:13">
      <c r="G99" s="78" t="s">
        <v>327</v>
      </c>
      <c r="H99" s="29">
        <f>11.75+1.5</f>
        <v>13.25</v>
      </c>
      <c r="I99" s="29">
        <v>3</v>
      </c>
      <c r="J99" s="29">
        <v>0</v>
      </c>
      <c r="K99" s="29">
        <v>0</v>
      </c>
      <c r="L99" s="29">
        <f t="shared" si="3"/>
        <v>13.25</v>
      </c>
      <c r="M99" s="29">
        <f t="shared" si="4"/>
        <v>39.75</v>
      </c>
    </row>
    <row r="100" spans="7:13">
      <c r="G100" s="78" t="s">
        <v>328</v>
      </c>
      <c r="H100" s="29">
        <f>13.55+1</f>
        <v>14.55</v>
      </c>
      <c r="I100" s="29">
        <v>3</v>
      </c>
      <c r="J100" s="29">
        <v>0</v>
      </c>
      <c r="K100" s="29">
        <v>0</v>
      </c>
      <c r="L100" s="29">
        <f t="shared" si="3"/>
        <v>14.55</v>
      </c>
      <c r="M100" s="29">
        <f t="shared" si="4"/>
        <v>43.650000000000006</v>
      </c>
    </row>
    <row r="101" spans="7:13">
      <c r="G101" s="78" t="s">
        <v>329</v>
      </c>
      <c r="H101" s="29">
        <f>16.35+1.5</f>
        <v>17.850000000000001</v>
      </c>
      <c r="I101" s="29">
        <v>3</v>
      </c>
      <c r="J101" s="29">
        <v>0</v>
      </c>
      <c r="K101" s="29">
        <v>0</v>
      </c>
      <c r="L101" s="29">
        <f t="shared" si="3"/>
        <v>17.850000000000001</v>
      </c>
      <c r="M101" s="29">
        <f t="shared" si="4"/>
        <v>53.550000000000004</v>
      </c>
    </row>
    <row r="102" spans="7:13">
      <c r="G102" s="78" t="s">
        <v>330</v>
      </c>
      <c r="H102" s="29">
        <f>17.6+1.5</f>
        <v>19.100000000000001</v>
      </c>
      <c r="I102" s="29">
        <v>3</v>
      </c>
      <c r="J102" s="29">
        <v>0</v>
      </c>
      <c r="K102" s="29">
        <v>0</v>
      </c>
      <c r="L102" s="29">
        <f t="shared" ref="L102:L108" si="5">H102</f>
        <v>19.100000000000001</v>
      </c>
      <c r="M102" s="29">
        <f t="shared" ref="M102:M108" si="6">I102*(J102+K102+L102)</f>
        <v>57.300000000000004</v>
      </c>
    </row>
    <row r="103" spans="7:13">
      <c r="G103" s="78" t="s">
        <v>331</v>
      </c>
      <c r="H103" s="29">
        <f>20.7+1.5</f>
        <v>22.2</v>
      </c>
      <c r="I103" s="29">
        <v>3</v>
      </c>
      <c r="J103" s="29">
        <v>0</v>
      </c>
      <c r="K103" s="29">
        <v>0</v>
      </c>
      <c r="L103" s="29">
        <f t="shared" si="5"/>
        <v>22.2</v>
      </c>
      <c r="M103" s="29">
        <f t="shared" si="6"/>
        <v>66.599999999999994</v>
      </c>
    </row>
    <row r="104" spans="7:13">
      <c r="G104" s="78" t="s">
        <v>332</v>
      </c>
      <c r="H104" s="29">
        <f>5.85+1</f>
        <v>6.85</v>
      </c>
      <c r="I104" s="29">
        <v>3</v>
      </c>
      <c r="J104" s="29">
        <v>0</v>
      </c>
      <c r="K104" s="29">
        <v>0</v>
      </c>
      <c r="L104" s="29">
        <f t="shared" si="5"/>
        <v>6.85</v>
      </c>
      <c r="M104" s="29">
        <f t="shared" si="6"/>
        <v>20.549999999999997</v>
      </c>
    </row>
    <row r="105" spans="7:13">
      <c r="G105" s="78" t="s">
        <v>333</v>
      </c>
      <c r="H105" s="29">
        <f>5.9+1.5</f>
        <v>7.4</v>
      </c>
      <c r="I105" s="29">
        <v>3</v>
      </c>
      <c r="J105" s="29">
        <v>0</v>
      </c>
      <c r="K105" s="29">
        <v>0</v>
      </c>
      <c r="L105" s="29">
        <f t="shared" si="5"/>
        <v>7.4</v>
      </c>
      <c r="M105" s="29">
        <f t="shared" si="6"/>
        <v>22.200000000000003</v>
      </c>
    </row>
    <row r="106" spans="7:13">
      <c r="G106" s="78" t="s">
        <v>334</v>
      </c>
      <c r="H106" s="29">
        <f>7.85+1.5</f>
        <v>9.35</v>
      </c>
      <c r="I106" s="29">
        <v>6</v>
      </c>
      <c r="J106" s="29">
        <v>0</v>
      </c>
      <c r="K106" s="29">
        <v>0</v>
      </c>
      <c r="L106" s="29">
        <f t="shared" si="5"/>
        <v>9.35</v>
      </c>
      <c r="M106" s="29">
        <f t="shared" si="6"/>
        <v>56.099999999999994</v>
      </c>
    </row>
    <row r="107" spans="7:13">
      <c r="G107" s="78" t="s">
        <v>335</v>
      </c>
      <c r="H107" s="29">
        <f>7.85+1.5</f>
        <v>9.35</v>
      </c>
      <c r="I107" s="29">
        <v>3</v>
      </c>
      <c r="J107" s="29">
        <v>0</v>
      </c>
      <c r="K107" s="29">
        <v>0</v>
      </c>
      <c r="L107" s="29">
        <f t="shared" si="5"/>
        <v>9.35</v>
      </c>
      <c r="M107" s="29">
        <f t="shared" si="6"/>
        <v>28.049999999999997</v>
      </c>
    </row>
    <row r="108" spans="7:13">
      <c r="G108" s="78" t="s">
        <v>336</v>
      </c>
      <c r="H108" s="29">
        <f>7.3+1.5</f>
        <v>8.8000000000000007</v>
      </c>
      <c r="I108" s="29">
        <v>3</v>
      </c>
      <c r="J108" s="29">
        <v>0</v>
      </c>
      <c r="K108" s="29">
        <v>0</v>
      </c>
      <c r="L108" s="29">
        <f t="shared" si="5"/>
        <v>8.8000000000000007</v>
      </c>
      <c r="M108" s="29">
        <f t="shared" si="6"/>
        <v>26.400000000000002</v>
      </c>
    </row>
    <row r="109" spans="7:13">
      <c r="G109" s="78" t="s">
        <v>337</v>
      </c>
      <c r="H109" s="29">
        <f>9.25+1.5</f>
        <v>10.75</v>
      </c>
      <c r="I109" s="29">
        <v>3</v>
      </c>
      <c r="J109" s="29">
        <v>0</v>
      </c>
      <c r="K109" s="29">
        <v>0</v>
      </c>
      <c r="L109" s="29">
        <f t="shared" ref="L109:L117" si="7">H109</f>
        <v>10.75</v>
      </c>
      <c r="M109" s="29">
        <f t="shared" ref="M109:M117" si="8">I109*(J109+K109+L109)</f>
        <v>32.25</v>
      </c>
    </row>
    <row r="110" spans="7:13">
      <c r="G110" s="78" t="s">
        <v>338</v>
      </c>
      <c r="H110" s="29">
        <f>9.25+1.5</f>
        <v>10.75</v>
      </c>
      <c r="I110" s="29">
        <v>3</v>
      </c>
      <c r="J110" s="29">
        <v>0</v>
      </c>
      <c r="K110" s="29">
        <v>0</v>
      </c>
      <c r="L110" s="29">
        <f t="shared" si="7"/>
        <v>10.75</v>
      </c>
      <c r="M110" s="29">
        <f t="shared" si="8"/>
        <v>32.25</v>
      </c>
    </row>
    <row r="111" spans="7:13">
      <c r="G111" s="78" t="s">
        <v>339</v>
      </c>
      <c r="H111" s="29">
        <f>9.25+1</f>
        <v>10.25</v>
      </c>
      <c r="I111" s="29">
        <v>3</v>
      </c>
      <c r="J111" s="29">
        <v>0</v>
      </c>
      <c r="K111" s="29">
        <v>0</v>
      </c>
      <c r="L111" s="29">
        <f t="shared" si="7"/>
        <v>10.25</v>
      </c>
      <c r="M111" s="29">
        <f t="shared" si="8"/>
        <v>30.75</v>
      </c>
    </row>
    <row r="112" spans="7:13">
      <c r="G112" s="78" t="s">
        <v>340</v>
      </c>
      <c r="H112" s="29">
        <f>13.2+1.5</f>
        <v>14.7</v>
      </c>
      <c r="I112" s="29">
        <v>3</v>
      </c>
      <c r="J112" s="29">
        <v>0</v>
      </c>
      <c r="K112" s="29">
        <v>0</v>
      </c>
      <c r="L112" s="29">
        <f t="shared" si="7"/>
        <v>14.7</v>
      </c>
      <c r="M112" s="29">
        <f t="shared" si="8"/>
        <v>44.099999999999994</v>
      </c>
    </row>
    <row r="113" spans="7:14">
      <c r="G113" s="78" t="s">
        <v>341</v>
      </c>
      <c r="H113" s="29">
        <f>13.75+1.5</f>
        <v>15.25</v>
      </c>
      <c r="I113" s="29">
        <v>3</v>
      </c>
      <c r="J113" s="29">
        <v>0</v>
      </c>
      <c r="K113" s="29">
        <v>0</v>
      </c>
      <c r="L113" s="29">
        <f t="shared" si="7"/>
        <v>15.25</v>
      </c>
      <c r="M113" s="29">
        <f t="shared" si="8"/>
        <v>45.75</v>
      </c>
    </row>
    <row r="114" spans="7:14">
      <c r="G114" s="78" t="s">
        <v>342</v>
      </c>
      <c r="H114" s="29">
        <f>15.1+1</f>
        <v>16.100000000000001</v>
      </c>
      <c r="I114" s="29">
        <v>6</v>
      </c>
      <c r="J114" s="29">
        <v>0</v>
      </c>
      <c r="K114" s="29">
        <v>0</v>
      </c>
      <c r="L114" s="29">
        <f t="shared" si="7"/>
        <v>16.100000000000001</v>
      </c>
      <c r="M114" s="29">
        <f t="shared" si="8"/>
        <v>96.600000000000009</v>
      </c>
    </row>
    <row r="115" spans="7:14">
      <c r="G115" s="78" t="s">
        <v>343</v>
      </c>
      <c r="H115" s="29">
        <f>15.55+1</f>
        <v>16.55</v>
      </c>
      <c r="I115" s="29">
        <v>3</v>
      </c>
      <c r="J115" s="29">
        <v>0</v>
      </c>
      <c r="K115" s="29">
        <v>0</v>
      </c>
      <c r="L115" s="29">
        <f t="shared" si="7"/>
        <v>16.55</v>
      </c>
      <c r="M115" s="29">
        <f t="shared" si="8"/>
        <v>49.650000000000006</v>
      </c>
    </row>
    <row r="116" spans="7:14">
      <c r="G116" s="78" t="s">
        <v>344</v>
      </c>
      <c r="H116" s="29">
        <f>18+1.5</f>
        <v>19.5</v>
      </c>
      <c r="I116" s="29">
        <v>3</v>
      </c>
      <c r="J116" s="29">
        <v>0</v>
      </c>
      <c r="K116" s="29">
        <v>0</v>
      </c>
      <c r="L116" s="29">
        <f t="shared" si="7"/>
        <v>19.5</v>
      </c>
      <c r="M116" s="29">
        <f t="shared" si="8"/>
        <v>58.5</v>
      </c>
    </row>
    <row r="117" spans="7:14">
      <c r="G117" s="78" t="s">
        <v>345</v>
      </c>
      <c r="H117" s="29">
        <f>21+1.5</f>
        <v>22.5</v>
      </c>
      <c r="I117" s="29">
        <v>3</v>
      </c>
      <c r="J117" s="29">
        <v>0</v>
      </c>
      <c r="K117" s="29">
        <v>0</v>
      </c>
      <c r="L117" s="29">
        <f t="shared" si="7"/>
        <v>22.5</v>
      </c>
      <c r="M117" s="29">
        <f t="shared" si="8"/>
        <v>67.5</v>
      </c>
    </row>
    <row r="118" spans="7:14">
      <c r="G118" s="78" t="s">
        <v>232</v>
      </c>
      <c r="H118" s="29">
        <f>13.75</f>
        <v>13.75</v>
      </c>
      <c r="I118" s="29">
        <v>3</v>
      </c>
      <c r="J118" s="29">
        <v>0</v>
      </c>
      <c r="K118" s="29">
        <v>0</v>
      </c>
      <c r="L118" s="29">
        <f t="shared" ref="L118:L125" si="9">H118</f>
        <v>13.75</v>
      </c>
      <c r="M118" s="29">
        <f t="shared" ref="M118:M125" si="10">I118*(J118+K118+L118)</f>
        <v>41.25</v>
      </c>
    </row>
    <row r="119" spans="7:14">
      <c r="G119" s="78" t="s">
        <v>233</v>
      </c>
      <c r="H119" s="29">
        <f>14</f>
        <v>14</v>
      </c>
      <c r="I119" s="29">
        <v>3</v>
      </c>
      <c r="J119" s="29">
        <v>0</v>
      </c>
      <c r="K119" s="29">
        <v>0</v>
      </c>
      <c r="L119" s="29">
        <f t="shared" si="9"/>
        <v>14</v>
      </c>
      <c r="M119" s="29">
        <f t="shared" si="10"/>
        <v>42</v>
      </c>
    </row>
    <row r="120" spans="7:14">
      <c r="G120" s="78" t="s">
        <v>234</v>
      </c>
      <c r="H120" s="29">
        <f>17.6</f>
        <v>17.600000000000001</v>
      </c>
      <c r="I120" s="29">
        <v>3</v>
      </c>
      <c r="J120" s="29">
        <v>0</v>
      </c>
      <c r="K120" s="29">
        <v>0</v>
      </c>
      <c r="L120" s="29">
        <f t="shared" si="9"/>
        <v>17.600000000000001</v>
      </c>
      <c r="M120" s="29">
        <f t="shared" si="10"/>
        <v>52.800000000000004</v>
      </c>
    </row>
    <row r="121" spans="7:14">
      <c r="G121" s="78" t="s">
        <v>235</v>
      </c>
      <c r="H121" s="29">
        <f>6.2</f>
        <v>6.2</v>
      </c>
      <c r="I121" s="29">
        <v>3</v>
      </c>
      <c r="J121" s="29">
        <v>0</v>
      </c>
      <c r="K121" s="29">
        <v>0</v>
      </c>
      <c r="L121" s="29">
        <f t="shared" si="9"/>
        <v>6.2</v>
      </c>
      <c r="M121" s="29">
        <f t="shared" si="10"/>
        <v>18.600000000000001</v>
      </c>
    </row>
    <row r="122" spans="7:14">
      <c r="G122" s="78" t="s">
        <v>236</v>
      </c>
      <c r="H122" s="29">
        <f>17.5</f>
        <v>17.5</v>
      </c>
      <c r="I122" s="29">
        <v>3</v>
      </c>
      <c r="J122" s="29">
        <v>0</v>
      </c>
      <c r="K122" s="29">
        <v>0</v>
      </c>
      <c r="L122" s="29">
        <f t="shared" si="9"/>
        <v>17.5</v>
      </c>
      <c r="M122" s="29">
        <f t="shared" si="10"/>
        <v>52.5</v>
      </c>
    </row>
    <row r="123" spans="7:14">
      <c r="G123" s="78" t="s">
        <v>237</v>
      </c>
      <c r="H123" s="29">
        <f>5.4</f>
        <v>5.4</v>
      </c>
      <c r="I123" s="29">
        <v>3</v>
      </c>
      <c r="J123" s="29">
        <v>0</v>
      </c>
      <c r="K123" s="29">
        <v>0</v>
      </c>
      <c r="L123" s="29">
        <f t="shared" si="9"/>
        <v>5.4</v>
      </c>
      <c r="M123" s="29">
        <f t="shared" si="10"/>
        <v>16.200000000000003</v>
      </c>
    </row>
    <row r="124" spans="7:14">
      <c r="G124" s="78" t="s">
        <v>238</v>
      </c>
      <c r="H124" s="29">
        <f>10.45</f>
        <v>10.45</v>
      </c>
      <c r="I124" s="29">
        <v>3</v>
      </c>
      <c r="J124" s="29">
        <v>0</v>
      </c>
      <c r="K124" s="29">
        <v>0</v>
      </c>
      <c r="L124" s="29">
        <f t="shared" si="9"/>
        <v>10.45</v>
      </c>
      <c r="M124" s="29">
        <f t="shared" si="10"/>
        <v>31.349999999999998</v>
      </c>
    </row>
    <row r="125" spans="7:14">
      <c r="G125" s="78" t="s">
        <v>239</v>
      </c>
      <c r="H125" s="29">
        <f>16.5</f>
        <v>16.5</v>
      </c>
      <c r="I125" s="29">
        <v>3</v>
      </c>
      <c r="J125" s="29">
        <v>0</v>
      </c>
      <c r="K125" s="29">
        <v>0</v>
      </c>
      <c r="L125" s="29">
        <f t="shared" si="9"/>
        <v>16.5</v>
      </c>
      <c r="M125" s="29">
        <f t="shared" si="10"/>
        <v>49.5</v>
      </c>
    </row>
    <row r="126" spans="7:14">
      <c r="J126" s="55">
        <f>SUM(J51:J125)</f>
        <v>0</v>
      </c>
      <c r="K126" s="55">
        <f>ROUNDUP(SUM(K51:K125),0)</f>
        <v>0</v>
      </c>
      <c r="L126" s="55">
        <f>ROUNDUP(SUM(L51:L125)*0.6,0)</f>
        <v>629</v>
      </c>
      <c r="M126" s="55">
        <f>ROUNDUP(SUM(M51:M125)*0.6,0)</f>
        <v>1983</v>
      </c>
      <c r="N126" s="1">
        <f>$M$126/($L$126+$J$126+$K$126)</f>
        <v>3.1526232114467407</v>
      </c>
    </row>
    <row r="127" spans="7:14">
      <c r="M127" s="45"/>
    </row>
    <row r="150" spans="7:7">
      <c r="G150" s="45"/>
    </row>
  </sheetData>
  <mergeCells count="9">
    <mergeCell ref="O2:P2"/>
    <mergeCell ref="G49:M49"/>
    <mergeCell ref="G2:G3"/>
    <mergeCell ref="M2:M3"/>
    <mergeCell ref="K2:L2"/>
    <mergeCell ref="K19:L19"/>
    <mergeCell ref="H2:J2"/>
    <mergeCell ref="H19:J19"/>
    <mergeCell ref="G21:M2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workbookViewId="0">
      <selection activeCell="C10" sqref="C10"/>
    </sheetView>
  </sheetViews>
  <sheetFormatPr defaultRowHeight="12"/>
  <cols>
    <col min="1" max="1" width="9.140625" style="1"/>
    <col min="2" max="2" width="85.5703125" style="1" bestFit="1" customWidth="1"/>
    <col min="3" max="3" width="18.85546875" style="1" customWidth="1"/>
    <col min="4" max="4" width="26.85546875" style="1" bestFit="1" customWidth="1"/>
    <col min="5" max="16384" width="9.140625" style="1"/>
  </cols>
  <sheetData>
    <row r="2" spans="2:4">
      <c r="B2" s="27" t="s">
        <v>109</v>
      </c>
      <c r="C2" s="27" t="s">
        <v>108</v>
      </c>
      <c r="D2" s="88" t="s">
        <v>366</v>
      </c>
    </row>
    <row r="3" spans="2:4">
      <c r="B3" s="27" t="s">
        <v>288</v>
      </c>
      <c r="C3" s="29">
        <f>(22.48+24.12)*2.7</f>
        <v>125.82000000000001</v>
      </c>
      <c r="D3" s="91">
        <v>0</v>
      </c>
    </row>
    <row r="4" spans="2:4">
      <c r="B4" s="75" t="s">
        <v>301</v>
      </c>
      <c r="C4" s="29">
        <f>(20.2-2-0.9)*0.4</f>
        <v>6.9200000000000008</v>
      </c>
      <c r="D4" s="91">
        <v>0</v>
      </c>
    </row>
    <row r="5" spans="2:4" ht="12.75">
      <c r="B5" s="27" t="s">
        <v>289</v>
      </c>
      <c r="C5" s="19">
        <f>2.5*2.5</f>
        <v>6.25</v>
      </c>
      <c r="D5" s="91">
        <f>2.5*0.15*0.2</f>
        <v>7.5000000000000011E-2</v>
      </c>
    </row>
    <row r="6" spans="2:4" ht="12.75">
      <c r="B6" s="24" t="s">
        <v>290</v>
      </c>
      <c r="C6" s="19">
        <f>0.85*2.5</f>
        <v>2.125</v>
      </c>
      <c r="D6" s="91">
        <f>0.85*0.15*0.2</f>
        <v>2.5500000000000002E-2</v>
      </c>
    </row>
    <row r="7" spans="2:4" ht="12.75">
      <c r="B7" s="24" t="s">
        <v>291</v>
      </c>
      <c r="C7" s="19">
        <f>0.75*2.8</f>
        <v>2.0999999999999996</v>
      </c>
      <c r="D7" s="91">
        <f>0.75*0.15*0.2</f>
        <v>2.2499999999999999E-2</v>
      </c>
    </row>
    <row r="8" spans="2:4" ht="12.75">
      <c r="B8" s="24" t="s">
        <v>292</v>
      </c>
      <c r="C8" s="19">
        <f>0.35*2.8</f>
        <v>0.97999999999999987</v>
      </c>
      <c r="D8" s="91">
        <v>0</v>
      </c>
    </row>
    <row r="9" spans="2:4" ht="12.75">
      <c r="B9" s="24" t="s">
        <v>367</v>
      </c>
      <c r="C9" s="19">
        <f>0.45*2.8</f>
        <v>1.26</v>
      </c>
      <c r="D9" s="91">
        <v>0</v>
      </c>
    </row>
    <row r="10" spans="2:4" ht="12.75">
      <c r="B10" s="24" t="s">
        <v>294</v>
      </c>
      <c r="C10" s="24">
        <f>0.85*2.8</f>
        <v>2.38</v>
      </c>
      <c r="D10" s="91">
        <f>0.85*0.15*0.2</f>
        <v>2.5500000000000002E-2</v>
      </c>
    </row>
    <row r="11" spans="2:4" ht="12.75">
      <c r="B11" s="24" t="s">
        <v>293</v>
      </c>
      <c r="C11" s="24">
        <f>0.85*2.8</f>
        <v>2.38</v>
      </c>
      <c r="D11" s="91">
        <f>0.85*0.15*0.2</f>
        <v>2.5500000000000002E-2</v>
      </c>
    </row>
    <row r="12" spans="2:4" ht="12.75">
      <c r="B12" s="24" t="s">
        <v>295</v>
      </c>
      <c r="C12" s="24">
        <f>2.75*2.8-0.4*0.4</f>
        <v>7.5399999999999991</v>
      </c>
      <c r="D12" s="91">
        <f>3.65*0.15*0.2</f>
        <v>0.1095</v>
      </c>
    </row>
    <row r="13" spans="2:4" ht="12.75">
      <c r="B13" s="24" t="s">
        <v>296</v>
      </c>
      <c r="C13" s="29">
        <f>0.6*2.8</f>
        <v>1.68</v>
      </c>
      <c r="D13" s="91">
        <f>0.6*0.15*0.2</f>
        <v>1.7999999999999999E-2</v>
      </c>
    </row>
    <row r="14" spans="2:4">
      <c r="B14" s="27" t="s">
        <v>297</v>
      </c>
      <c r="C14" s="29">
        <f>2.7*2.8-1.5*1.1</f>
        <v>5.9099999999999993</v>
      </c>
      <c r="D14" s="91">
        <f>2.7*0.15*0.2</f>
        <v>8.1000000000000016E-2</v>
      </c>
    </row>
    <row r="15" spans="2:4">
      <c r="B15" s="30" t="s">
        <v>107</v>
      </c>
      <c r="C15" s="26">
        <f>ROUNDUP(SUM(C3:C14),2)</f>
        <v>165.35</v>
      </c>
      <c r="D15" s="79">
        <f>ROUNDUP(SUM(D3:D14),2)</f>
        <v>0.39</v>
      </c>
    </row>
    <row r="17" spans="3:3">
      <c r="C17" s="45"/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workbookViewId="0">
      <selection activeCell="F9" sqref="F9"/>
    </sheetView>
  </sheetViews>
  <sheetFormatPr defaultRowHeight="12"/>
  <cols>
    <col min="1" max="1" width="9.140625" style="12"/>
    <col min="2" max="2" width="32.7109375" style="12" bestFit="1" customWidth="1"/>
    <col min="3" max="3" width="15.140625" style="12" bestFit="1" customWidth="1"/>
    <col min="4" max="4" width="12.85546875" style="12" bestFit="1" customWidth="1"/>
    <col min="5" max="5" width="11.7109375" style="12" bestFit="1" customWidth="1"/>
    <col min="6" max="6" width="10.7109375" style="12" bestFit="1" customWidth="1"/>
    <col min="7" max="16384" width="9.140625" style="12"/>
  </cols>
  <sheetData>
    <row r="2" spans="2:7">
      <c r="B2" s="25" t="s">
        <v>99</v>
      </c>
      <c r="C2" s="16" t="s">
        <v>26</v>
      </c>
      <c r="D2" s="16" t="s">
        <v>24</v>
      </c>
      <c r="E2" s="16" t="s">
        <v>27</v>
      </c>
      <c r="F2" s="16" t="s">
        <v>25</v>
      </c>
    </row>
    <row r="3" spans="2:7">
      <c r="B3" s="74" t="s">
        <v>267</v>
      </c>
      <c r="C3" s="17">
        <v>1.2</v>
      </c>
      <c r="D3" s="17">
        <v>0.15</v>
      </c>
      <c r="E3" s="17">
        <v>3</v>
      </c>
      <c r="F3" s="17">
        <f>C3*D3*E3</f>
        <v>0.54</v>
      </c>
      <c r="G3" s="1"/>
    </row>
    <row r="4" spans="2:7">
      <c r="B4" s="74" t="s">
        <v>268</v>
      </c>
      <c r="C4" s="17">
        <v>1.1000000000000001</v>
      </c>
      <c r="D4" s="17">
        <v>0.15</v>
      </c>
      <c r="E4" s="17">
        <v>3</v>
      </c>
      <c r="F4" s="17">
        <f t="shared" ref="F4:F7" si="0">C4*D4*E4</f>
        <v>0.495</v>
      </c>
      <c r="G4" s="1"/>
    </row>
    <row r="5" spans="2:7">
      <c r="B5" s="74" t="s">
        <v>269</v>
      </c>
      <c r="C5" s="17">
        <v>0.8</v>
      </c>
      <c r="D5" s="17">
        <v>0.15</v>
      </c>
      <c r="E5" s="17">
        <v>3</v>
      </c>
      <c r="F5" s="17">
        <f t="shared" si="0"/>
        <v>0.36</v>
      </c>
      <c r="G5" s="1"/>
    </row>
    <row r="6" spans="2:7">
      <c r="B6" s="74" t="s">
        <v>270</v>
      </c>
      <c r="C6" s="17">
        <v>1.7</v>
      </c>
      <c r="D6" s="17">
        <v>0.15</v>
      </c>
      <c r="E6" s="17">
        <v>3</v>
      </c>
      <c r="F6" s="17">
        <f t="shared" si="0"/>
        <v>0.76500000000000001</v>
      </c>
      <c r="G6" s="1"/>
    </row>
    <row r="7" spans="2:7">
      <c r="B7" s="74" t="s">
        <v>271</v>
      </c>
      <c r="C7" s="17">
        <v>1.25</v>
      </c>
      <c r="D7" s="17">
        <v>0.15</v>
      </c>
      <c r="E7" s="17">
        <v>3</v>
      </c>
      <c r="F7" s="17">
        <f t="shared" si="0"/>
        <v>0.5625</v>
      </c>
      <c r="G7" s="1"/>
    </row>
    <row r="8" spans="2:7">
      <c r="B8" s="74" t="s">
        <v>272</v>
      </c>
      <c r="C8" s="17">
        <v>2.4</v>
      </c>
      <c r="D8" s="17">
        <v>0.15</v>
      </c>
      <c r="E8" s="17">
        <v>3</v>
      </c>
      <c r="F8" s="17">
        <f t="shared" ref="F8" si="1">C8*D8*E8</f>
        <v>1.08</v>
      </c>
      <c r="G8" s="1"/>
    </row>
    <row r="9" spans="2:7">
      <c r="B9" s="301" t="s">
        <v>28</v>
      </c>
      <c r="C9" s="302"/>
      <c r="D9" s="302"/>
      <c r="E9" s="303"/>
      <c r="F9" s="18">
        <f>SUM(F3:F8)</f>
        <v>3.8025000000000002</v>
      </c>
    </row>
    <row r="10" spans="2:7">
      <c r="C10" s="15"/>
      <c r="D10" s="15"/>
      <c r="E10" s="15"/>
      <c r="F10" s="15"/>
    </row>
    <row r="11" spans="2:7">
      <c r="C11" s="15"/>
      <c r="D11" s="15"/>
      <c r="E11" s="81"/>
      <c r="F11" s="15"/>
    </row>
    <row r="12" spans="2:7">
      <c r="C12" s="15"/>
      <c r="D12" s="15"/>
      <c r="E12" s="15"/>
      <c r="F12" s="15"/>
    </row>
    <row r="13" spans="2:7">
      <c r="C13" s="15"/>
      <c r="D13" s="15"/>
      <c r="E13" s="15"/>
      <c r="F13" s="15"/>
    </row>
    <row r="14" spans="2:7">
      <c r="C14" s="15"/>
      <c r="D14" s="15"/>
      <c r="E14" s="15"/>
      <c r="F14" s="15"/>
    </row>
    <row r="15" spans="2:7">
      <c r="C15" s="15"/>
      <c r="D15" s="15"/>
      <c r="E15" s="15"/>
      <c r="F15" s="15"/>
    </row>
    <row r="16" spans="2:7">
      <c r="C16" s="15"/>
      <c r="D16" s="15"/>
      <c r="E16" s="15"/>
      <c r="F16" s="15"/>
    </row>
    <row r="17" spans="3:6">
      <c r="C17" s="15"/>
      <c r="D17" s="15"/>
      <c r="E17" s="15"/>
      <c r="F17" s="15"/>
    </row>
    <row r="18" spans="3:6">
      <c r="C18" s="15"/>
      <c r="D18" s="15"/>
      <c r="E18" s="15"/>
      <c r="F18" s="15"/>
    </row>
    <row r="19" spans="3:6">
      <c r="C19" s="15"/>
      <c r="D19" s="15"/>
      <c r="E19" s="15"/>
      <c r="F19" s="15"/>
    </row>
    <row r="20" spans="3:6">
      <c r="C20" s="15"/>
      <c r="D20" s="15"/>
      <c r="E20" s="15"/>
      <c r="F20" s="15"/>
    </row>
  </sheetData>
  <mergeCells count="1">
    <mergeCell ref="B9:E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43"/>
  <sheetViews>
    <sheetView topLeftCell="B1" workbookViewId="0">
      <selection activeCell="G8" sqref="G8"/>
    </sheetView>
  </sheetViews>
  <sheetFormatPr defaultRowHeight="12"/>
  <cols>
    <col min="1" max="1" width="9.140625" style="1"/>
    <col min="2" max="2" width="49.85546875" style="1" bestFit="1" customWidth="1"/>
    <col min="3" max="3" width="32.140625" style="1" bestFit="1" customWidth="1"/>
    <col min="4" max="5" width="23.7109375" style="1" bestFit="1" customWidth="1"/>
    <col min="6" max="6" width="23.7109375" style="1" customWidth="1"/>
    <col min="7" max="7" width="15.85546875" style="1" bestFit="1" customWidth="1"/>
    <col min="8" max="8" width="9.85546875" style="1" customWidth="1"/>
    <col min="9" max="16384" width="9.140625" style="1"/>
  </cols>
  <sheetData>
    <row r="4" spans="2:8">
      <c r="B4" s="230" t="s">
        <v>100</v>
      </c>
      <c r="C4" s="231"/>
      <c r="D4" s="232"/>
      <c r="E4" s="35" t="s">
        <v>122</v>
      </c>
      <c r="F4" s="36"/>
    </row>
    <row r="5" spans="2:8">
      <c r="B5" s="27" t="s">
        <v>302</v>
      </c>
      <c r="C5" s="29">
        <f>42.73*2.8-8*0.9*2.1-2*2.1-1.5*1.1+31.92</f>
        <v>130.59399999999997</v>
      </c>
      <c r="D5" s="27" t="s">
        <v>120</v>
      </c>
      <c r="E5" s="29">
        <f>C5</f>
        <v>130.59399999999997</v>
      </c>
      <c r="G5" s="27" t="s">
        <v>310</v>
      </c>
      <c r="H5" s="29">
        <f>SUM(E5:E17)</f>
        <v>415.06</v>
      </c>
    </row>
    <row r="6" spans="2:8">
      <c r="B6" s="27" t="s">
        <v>257</v>
      </c>
      <c r="C6" s="29">
        <f>18.54*2.8-0.9*2.1-1.5*1.1+21.48</f>
        <v>69.85199999999999</v>
      </c>
      <c r="D6" s="27" t="s">
        <v>120</v>
      </c>
      <c r="E6" s="29">
        <f t="shared" ref="E6:E17" si="0">C6</f>
        <v>69.85199999999999</v>
      </c>
      <c r="G6" s="78" t="s">
        <v>311</v>
      </c>
      <c r="H6" s="29">
        <f>SUM(E21:E23)</f>
        <v>206.17000000000002</v>
      </c>
    </row>
    <row r="7" spans="2:8">
      <c r="B7" s="27" t="s">
        <v>256</v>
      </c>
      <c r="C7" s="29">
        <f>21.14*2.8-0.9*2.1-1.5*1.1+27.41</f>
        <v>83.061999999999998</v>
      </c>
      <c r="D7" s="27" t="s">
        <v>120</v>
      </c>
      <c r="E7" s="29">
        <f t="shared" si="0"/>
        <v>83.061999999999998</v>
      </c>
      <c r="G7" s="27" t="s">
        <v>120</v>
      </c>
      <c r="H7" s="29">
        <f>SUM(C5:C17)+SUM(C21:C23)</f>
        <v>872.87</v>
      </c>
    </row>
    <row r="8" spans="2:8">
      <c r="B8" s="27" t="s">
        <v>259</v>
      </c>
      <c r="C8" s="29">
        <f>18.84*2.8-2*1.5*1.1-0.9*2.1+22.09</f>
        <v>69.652000000000001</v>
      </c>
      <c r="D8" s="27" t="s">
        <v>120</v>
      </c>
      <c r="E8" s="29">
        <f t="shared" si="0"/>
        <v>69.652000000000001</v>
      </c>
    </row>
    <row r="9" spans="2:8">
      <c r="B9" s="75" t="s">
        <v>157</v>
      </c>
      <c r="C9" s="29">
        <v>4.33</v>
      </c>
      <c r="D9" s="75" t="s">
        <v>120</v>
      </c>
      <c r="E9" s="29">
        <f t="shared" si="0"/>
        <v>4.33</v>
      </c>
    </row>
    <row r="10" spans="2:8">
      <c r="B10" s="75" t="s">
        <v>158</v>
      </c>
      <c r="C10" s="29">
        <v>3.45</v>
      </c>
      <c r="D10" s="75" t="s">
        <v>120</v>
      </c>
      <c r="E10" s="29">
        <f t="shared" si="0"/>
        <v>3.45</v>
      </c>
    </row>
    <row r="11" spans="2:8">
      <c r="B11" s="75" t="s">
        <v>303</v>
      </c>
      <c r="C11" s="29">
        <v>8.85</v>
      </c>
      <c r="D11" s="75" t="s">
        <v>120</v>
      </c>
      <c r="E11" s="29">
        <f t="shared" si="0"/>
        <v>8.85</v>
      </c>
    </row>
    <row r="12" spans="2:8">
      <c r="B12" s="75" t="s">
        <v>304</v>
      </c>
      <c r="C12" s="29">
        <v>4.45</v>
      </c>
      <c r="D12" s="75" t="s">
        <v>120</v>
      </c>
      <c r="E12" s="29">
        <f t="shared" si="0"/>
        <v>4.45</v>
      </c>
    </row>
    <row r="13" spans="2:8">
      <c r="B13" s="75" t="s">
        <v>262</v>
      </c>
      <c r="C13" s="29">
        <v>9.6300000000000008</v>
      </c>
      <c r="D13" s="75" t="s">
        <v>120</v>
      </c>
      <c r="E13" s="29">
        <f t="shared" si="0"/>
        <v>9.6300000000000008</v>
      </c>
    </row>
    <row r="14" spans="2:8">
      <c r="B14" s="75" t="s">
        <v>305</v>
      </c>
      <c r="C14" s="29">
        <v>5.22</v>
      </c>
      <c r="D14" s="75" t="s">
        <v>120</v>
      </c>
      <c r="E14" s="29">
        <f t="shared" si="0"/>
        <v>5.22</v>
      </c>
    </row>
    <row r="15" spans="2:8">
      <c r="B15" s="75" t="s">
        <v>306</v>
      </c>
      <c r="C15" s="29">
        <v>14.13</v>
      </c>
      <c r="D15" s="75" t="s">
        <v>120</v>
      </c>
      <c r="E15" s="29">
        <f t="shared" si="0"/>
        <v>14.13</v>
      </c>
    </row>
    <row r="16" spans="2:8">
      <c r="B16" s="75" t="s">
        <v>265</v>
      </c>
      <c r="C16" s="29">
        <v>6.79</v>
      </c>
      <c r="D16" s="75" t="s">
        <v>120</v>
      </c>
      <c r="E16" s="29">
        <f t="shared" si="0"/>
        <v>6.79</v>
      </c>
    </row>
    <row r="17" spans="2:5">
      <c r="B17" s="75" t="s">
        <v>266</v>
      </c>
      <c r="C17" s="29">
        <v>5.05</v>
      </c>
      <c r="D17" s="75" t="s">
        <v>120</v>
      </c>
      <c r="E17" s="29">
        <f t="shared" si="0"/>
        <v>5.05</v>
      </c>
    </row>
    <row r="18" spans="2:5">
      <c r="B18" s="37"/>
      <c r="C18" s="38"/>
      <c r="D18" s="37"/>
      <c r="E18" s="38"/>
    </row>
    <row r="20" spans="2:5">
      <c r="B20" s="230" t="s">
        <v>121</v>
      </c>
      <c r="C20" s="231"/>
      <c r="D20" s="232"/>
      <c r="E20" s="76" t="s">
        <v>122</v>
      </c>
    </row>
    <row r="21" spans="2:5">
      <c r="B21" s="27" t="s">
        <v>307</v>
      </c>
      <c r="C21" s="29">
        <f>64*3.5-((10*1.5*1.1+2*0.7*0.6+2*0.65*0.6+1*1.2*0.6)+(1*2*2.1+2*0.9*2.1))-(2.95*3)+(4*0.25*4)</f>
        <v>192.33</v>
      </c>
      <c r="D21" s="27" t="s">
        <v>120</v>
      </c>
      <c r="E21" s="29">
        <f>C21</f>
        <v>192.33</v>
      </c>
    </row>
    <row r="22" spans="2:5">
      <c r="B22" s="27" t="s">
        <v>308</v>
      </c>
      <c r="C22" s="29">
        <f>(22.48+24.12)*2.7*2</f>
        <v>251.64000000000001</v>
      </c>
      <c r="D22" s="27" t="s">
        <v>120</v>
      </c>
      <c r="E22" s="29">
        <v>0</v>
      </c>
    </row>
    <row r="23" spans="2:5">
      <c r="B23" s="27" t="s">
        <v>309</v>
      </c>
      <c r="C23" s="29">
        <f>(20.2-2-0.9)*0.4*2</f>
        <v>13.840000000000002</v>
      </c>
      <c r="D23" s="27" t="s">
        <v>120</v>
      </c>
      <c r="E23" s="29">
        <f t="shared" ref="E23" si="1">C23</f>
        <v>13.840000000000002</v>
      </c>
    </row>
    <row r="26" spans="2:5">
      <c r="B26" s="242" t="s">
        <v>106</v>
      </c>
      <c r="C26" s="242"/>
      <c r="D26" s="36"/>
    </row>
    <row r="27" spans="2:5">
      <c r="B27" s="27" t="s">
        <v>315</v>
      </c>
      <c r="C27" s="78" t="s">
        <v>314</v>
      </c>
      <c r="D27" s="37"/>
    </row>
    <row r="28" spans="2:5">
      <c r="B28" s="83">
        <v>1</v>
      </c>
      <c r="C28" s="28">
        <v>15.2</v>
      </c>
      <c r="D28" s="38"/>
    </row>
    <row r="29" spans="2:5">
      <c r="B29" s="84">
        <v>2</v>
      </c>
      <c r="C29" s="28">
        <v>15.2</v>
      </c>
      <c r="D29" s="38"/>
    </row>
    <row r="30" spans="2:5">
      <c r="B30" s="84">
        <v>3</v>
      </c>
      <c r="C30" s="28">
        <v>15.2</v>
      </c>
      <c r="D30" s="38"/>
    </row>
    <row r="31" spans="2:5">
      <c r="B31" s="83">
        <v>4</v>
      </c>
      <c r="C31" s="28">
        <v>15.2</v>
      </c>
      <c r="D31" s="38"/>
    </row>
    <row r="32" spans="2:5">
      <c r="B32" s="84">
        <v>5</v>
      </c>
      <c r="C32" s="28">
        <v>11.9</v>
      </c>
      <c r="D32" s="38"/>
    </row>
    <row r="33" spans="2:4">
      <c r="B33" s="84">
        <v>6</v>
      </c>
      <c r="C33" s="28">
        <v>10.199999999999999</v>
      </c>
      <c r="D33" s="38"/>
    </row>
    <row r="34" spans="2:4">
      <c r="B34" s="83">
        <v>7</v>
      </c>
      <c r="C34" s="28">
        <v>10.199999999999999</v>
      </c>
      <c r="D34" s="38"/>
    </row>
    <row r="35" spans="2:4">
      <c r="B35" s="84">
        <v>8</v>
      </c>
      <c r="C35" s="28">
        <v>17.7</v>
      </c>
      <c r="D35" s="38"/>
    </row>
    <row r="36" spans="2:4">
      <c r="B36" s="83">
        <v>9</v>
      </c>
      <c r="C36" s="28">
        <v>17.7</v>
      </c>
      <c r="D36" s="38"/>
    </row>
    <row r="37" spans="2:4">
      <c r="B37" s="84">
        <v>10</v>
      </c>
      <c r="C37" s="28">
        <v>17.7</v>
      </c>
      <c r="D37" s="38"/>
    </row>
    <row r="38" spans="2:4">
      <c r="B38" s="84">
        <v>11</v>
      </c>
      <c r="C38" s="28">
        <v>17.7</v>
      </c>
      <c r="D38" s="38"/>
    </row>
    <row r="39" spans="2:4">
      <c r="B39" s="83">
        <v>12</v>
      </c>
      <c r="C39" s="28">
        <v>13.15</v>
      </c>
      <c r="D39" s="38"/>
    </row>
    <row r="40" spans="2:4">
      <c r="B40" s="84">
        <v>13</v>
      </c>
      <c r="C40" s="28">
        <v>9.1999999999999993</v>
      </c>
      <c r="D40" s="38"/>
    </row>
    <row r="41" spans="2:4">
      <c r="B41" s="84">
        <v>14</v>
      </c>
      <c r="C41" s="28">
        <v>60</v>
      </c>
      <c r="D41" s="38"/>
    </row>
    <row r="42" spans="2:4">
      <c r="B42" s="76" t="s">
        <v>101</v>
      </c>
      <c r="C42" s="79">
        <f>SUM(C28:C41)</f>
        <v>246.24999999999997</v>
      </c>
      <c r="D42" s="39"/>
    </row>
    <row r="43" spans="2:4">
      <c r="C43" s="76">
        <f>ROUNDUP(C42*0.366,2)</f>
        <v>90.13000000000001</v>
      </c>
    </row>
  </sheetData>
  <mergeCells count="3">
    <mergeCell ref="B26:C26"/>
    <mergeCell ref="B4:D4"/>
    <mergeCell ref="B20:D2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0"/>
  <sheetViews>
    <sheetView tabSelected="1" zoomScaleNormal="100" workbookViewId="0">
      <selection sqref="A1:I1"/>
    </sheetView>
  </sheetViews>
  <sheetFormatPr defaultColWidth="9.140625" defaultRowHeight="12"/>
  <cols>
    <col min="1" max="1" width="5.5703125" style="1" customWidth="1"/>
    <col min="2" max="2" width="13.85546875" style="1" customWidth="1"/>
    <col min="3" max="3" width="47.42578125" style="1" customWidth="1"/>
    <col min="4" max="4" width="9.7109375" style="1" customWidth="1"/>
    <col min="5" max="5" width="7.7109375" style="1" customWidth="1"/>
    <col min="6" max="6" width="12.85546875" style="1" customWidth="1"/>
    <col min="7" max="7" width="14.140625" style="1" customWidth="1"/>
    <col min="8" max="8" width="12.7109375" style="1" customWidth="1"/>
    <col min="9" max="9" width="10.42578125" style="1" customWidth="1"/>
    <col min="10" max="10" width="10.28515625" style="1" customWidth="1"/>
    <col min="11" max="11" width="19" style="1" customWidth="1"/>
    <col min="12" max="12" width="23.28515625" style="170" customWidth="1"/>
    <col min="13" max="13" width="23.28515625" style="1" customWidth="1"/>
    <col min="14" max="14" width="32.85546875" style="1" bestFit="1" customWidth="1"/>
    <col min="15" max="15" width="15.5703125" style="1" bestFit="1" customWidth="1"/>
    <col min="16" max="16" width="16.85546875" style="1" bestFit="1" customWidth="1"/>
    <col min="17" max="17" width="14.140625" style="1" bestFit="1" customWidth="1"/>
    <col min="18" max="18" width="13.5703125" style="1" bestFit="1" customWidth="1"/>
    <col min="19" max="16384" width="9.140625" style="1"/>
  </cols>
  <sheetData>
    <row r="1" spans="1:12" ht="12" customHeight="1">
      <c r="A1" s="217" t="s">
        <v>16</v>
      </c>
      <c r="B1" s="217"/>
      <c r="C1" s="217"/>
      <c r="D1" s="217"/>
      <c r="E1" s="217"/>
      <c r="F1" s="217"/>
      <c r="G1" s="217"/>
      <c r="H1" s="217"/>
      <c r="I1" s="217"/>
      <c r="L1" s="1"/>
    </row>
    <row r="2" spans="1:12" ht="12" customHeight="1">
      <c r="A2" s="218" t="s">
        <v>14</v>
      </c>
      <c r="B2" s="218"/>
      <c r="C2" s="218"/>
      <c r="D2" s="218"/>
      <c r="E2" s="218"/>
      <c r="F2" s="218"/>
      <c r="G2" s="218"/>
      <c r="H2" s="218"/>
      <c r="I2" s="218"/>
      <c r="L2" s="1"/>
    </row>
    <row r="3" spans="1:12" ht="12" customHeight="1">
      <c r="A3" s="219" t="s">
        <v>15</v>
      </c>
      <c r="B3" s="219"/>
      <c r="C3" s="219"/>
      <c r="D3" s="219"/>
      <c r="E3" s="219"/>
      <c r="F3" s="219"/>
      <c r="G3" s="219"/>
      <c r="H3" s="219"/>
      <c r="I3" s="219"/>
      <c r="L3" s="1"/>
    </row>
    <row r="4" spans="1:12" ht="12" customHeight="1">
      <c r="A4" s="87"/>
      <c r="B4" s="87"/>
      <c r="C4" s="41"/>
      <c r="D4" s="87"/>
      <c r="E4" s="87"/>
      <c r="F4" s="87"/>
      <c r="G4" s="87"/>
      <c r="H4" s="87"/>
      <c r="I4" s="87"/>
      <c r="L4" s="1"/>
    </row>
    <row r="5" spans="1:12" ht="12" customHeight="1">
      <c r="A5" s="220" t="s">
        <v>8</v>
      </c>
      <c r="B5" s="220"/>
      <c r="C5" s="220"/>
      <c r="D5" s="220"/>
      <c r="E5" s="220"/>
      <c r="F5" s="220"/>
      <c r="G5" s="220"/>
      <c r="H5" s="220"/>
      <c r="I5" s="220"/>
      <c r="L5" s="1"/>
    </row>
    <row r="6" spans="1:12" ht="15" customHeight="1">
      <c r="A6" s="221" t="s">
        <v>9</v>
      </c>
      <c r="B6" s="222"/>
      <c r="C6" s="223" t="s">
        <v>862</v>
      </c>
      <c r="D6" s="223"/>
      <c r="E6" s="223"/>
      <c r="F6" s="93" t="s">
        <v>10</v>
      </c>
      <c r="G6" s="139">
        <f>'COMPOSIÇÃO DO BDI'!D19</f>
        <v>0.22</v>
      </c>
      <c r="H6" s="93" t="s">
        <v>11</v>
      </c>
      <c r="I6" s="72">
        <v>45084</v>
      </c>
      <c r="L6" s="1"/>
    </row>
    <row r="7" spans="1:12" ht="12.75">
      <c r="A7" s="221" t="s">
        <v>12</v>
      </c>
      <c r="B7" s="222"/>
      <c r="C7" s="224" t="s">
        <v>368</v>
      </c>
      <c r="D7" s="224"/>
      <c r="E7" s="224"/>
      <c r="F7" s="224"/>
      <c r="G7" s="224"/>
      <c r="H7" s="224"/>
      <c r="I7" s="224"/>
      <c r="L7" s="1"/>
    </row>
    <row r="8" spans="1:12" ht="9" customHeight="1">
      <c r="H8" s="40">
        <f>G6</f>
        <v>0.22</v>
      </c>
      <c r="I8" s="40"/>
      <c r="L8" s="1"/>
    </row>
    <row r="9" spans="1:12" ht="24">
      <c r="A9" s="2" t="s">
        <v>0</v>
      </c>
      <c r="B9" s="3" t="s">
        <v>17</v>
      </c>
      <c r="C9" s="2" t="s">
        <v>1</v>
      </c>
      <c r="D9" s="2" t="s">
        <v>2</v>
      </c>
      <c r="E9" s="2" t="s">
        <v>3</v>
      </c>
      <c r="F9" s="3" t="s">
        <v>4</v>
      </c>
      <c r="G9" s="3" t="s">
        <v>1049</v>
      </c>
      <c r="H9" s="3" t="s">
        <v>139</v>
      </c>
      <c r="I9" s="3" t="s">
        <v>132</v>
      </c>
      <c r="L9" s="1"/>
    </row>
    <row r="10" spans="1:12">
      <c r="A10" s="4">
        <v>1</v>
      </c>
      <c r="B10" s="211" t="s">
        <v>513</v>
      </c>
      <c r="C10" s="215"/>
      <c r="D10" s="215"/>
      <c r="E10" s="215"/>
      <c r="F10" s="215"/>
      <c r="G10" s="216"/>
      <c r="H10" s="10">
        <f>SUM(H11)</f>
        <v>629.38</v>
      </c>
      <c r="I10" s="43">
        <f>ROUNDDOWN(H10/$H$186,4)</f>
        <v>1.1000000000000001E-3</v>
      </c>
      <c r="J10" s="11"/>
      <c r="K10" s="73"/>
      <c r="L10" s="1"/>
    </row>
    <row r="11" spans="1:12" ht="12" customHeight="1">
      <c r="A11" s="6" t="s">
        <v>363</v>
      </c>
      <c r="B11" s="6" t="s">
        <v>34</v>
      </c>
      <c r="C11" s="7" t="s">
        <v>33</v>
      </c>
      <c r="D11" s="8">
        <f>2*1.5</f>
        <v>3</v>
      </c>
      <c r="E11" s="6" t="s">
        <v>6</v>
      </c>
      <c r="F11" s="9">
        <v>171.96</v>
      </c>
      <c r="G11" s="9">
        <f>F11*(1+$H$8)</f>
        <v>209.7912</v>
      </c>
      <c r="H11" s="9">
        <f>ROUNDUP(D11*F11*(1+$H$8),2)</f>
        <v>629.38</v>
      </c>
      <c r="I11" s="44">
        <f>ROUNDDOWN(H11/$H$186,4)</f>
        <v>1.1000000000000001E-3</v>
      </c>
      <c r="J11" s="181"/>
      <c r="K11" s="73"/>
      <c r="L11" s="69"/>
    </row>
    <row r="12" spans="1:12" ht="12" customHeight="1">
      <c r="A12" s="4">
        <v>2</v>
      </c>
      <c r="B12" s="211" t="s">
        <v>391</v>
      </c>
      <c r="C12" s="215"/>
      <c r="D12" s="215"/>
      <c r="E12" s="215"/>
      <c r="F12" s="215"/>
      <c r="G12" s="216"/>
      <c r="H12" s="10">
        <f>SUM(H13:H29)</f>
        <v>14452.529999999999</v>
      </c>
      <c r="I12" s="43">
        <f>ROUNDDOWN(H12/$H$186,4)</f>
        <v>2.5999999999999999E-2</v>
      </c>
      <c r="J12" s="181"/>
      <c r="K12" s="73"/>
      <c r="L12" s="69"/>
    </row>
    <row r="13" spans="1:12" ht="24">
      <c r="A13" s="6" t="s">
        <v>765</v>
      </c>
      <c r="B13" s="6" t="s">
        <v>23</v>
      </c>
      <c r="C13" s="7" t="s">
        <v>35</v>
      </c>
      <c r="D13" s="8">
        <f>ROUNDUP((0.65*0.65*0.15)+(0.9*2.1*0.15)+'BANHEIRO AO LADO DA SALA PROF'!C8+(0.8*2.1*0.15)+((6.1+1.85)*2.8*0.15)+(11*3*0.15)+(2.4*3*0.15),2)</f>
        <v>10.220000000000001</v>
      </c>
      <c r="E13" s="6" t="s">
        <v>6</v>
      </c>
      <c r="F13" s="9">
        <v>67.48</v>
      </c>
      <c r="G13" s="9">
        <f>F13*(1+$H$8)</f>
        <v>82.325600000000009</v>
      </c>
      <c r="H13" s="9">
        <f>ROUNDUP(D13*F13*(1+$H$8),2)</f>
        <v>841.37</v>
      </c>
      <c r="I13" s="44">
        <f>ROUNDDOWN(H13/$H$186,4)</f>
        <v>1.5E-3</v>
      </c>
      <c r="J13" s="181"/>
      <c r="K13" s="73"/>
      <c r="L13" s="69"/>
    </row>
    <row r="14" spans="1:12" ht="24">
      <c r="A14" s="6" t="s">
        <v>771</v>
      </c>
      <c r="B14" s="6" t="s">
        <v>392</v>
      </c>
      <c r="C14" s="7" t="s">
        <v>420</v>
      </c>
      <c r="D14" s="8">
        <f>(1.6*2.9+3.9*2.9-3.1*2.1+3.4*2.9-1.45*1)+(14.5*3-0.8*2.1-1.2*1.2)+(11.07*3-2*1.12*0.52-0.8*2.1)+(7.45)+(11.66)</f>
        <v>107.7052</v>
      </c>
      <c r="E14" s="6" t="s">
        <v>5</v>
      </c>
      <c r="F14" s="9">
        <v>10.119999999999999</v>
      </c>
      <c r="G14" s="9">
        <f t="shared" ref="G14:G79" si="0">F14*(1+$H$8)</f>
        <v>12.346399999999999</v>
      </c>
      <c r="H14" s="9">
        <f>ROUNDDOWN(D14*F14*(1+$H$8),2)</f>
        <v>1329.77</v>
      </c>
      <c r="I14" s="44">
        <f>ROUNDUP(H14/$H$186,4)</f>
        <v>2.3999999999999998E-3</v>
      </c>
      <c r="J14" s="181"/>
      <c r="K14" s="73"/>
      <c r="L14" s="69"/>
    </row>
    <row r="15" spans="1:12" ht="24">
      <c r="A15" s="6" t="s">
        <v>772</v>
      </c>
      <c r="B15" s="6" t="s">
        <v>699</v>
      </c>
      <c r="C15" s="7" t="s">
        <v>700</v>
      </c>
      <c r="D15" s="8">
        <f>(13.85*2.2/2)</f>
        <v>15.235000000000001</v>
      </c>
      <c r="E15" s="6" t="s">
        <v>5</v>
      </c>
      <c r="F15" s="9">
        <v>5.0599999999999996</v>
      </c>
      <c r="G15" s="9">
        <f t="shared" si="0"/>
        <v>6.1731999999999996</v>
      </c>
      <c r="H15" s="9">
        <f>ROUNDUP(D15*F15*(1+$H$8),2)</f>
        <v>94.050000000000011</v>
      </c>
      <c r="I15" s="44">
        <f>ROUNDUP(H15/$H$186,4)</f>
        <v>2.0000000000000001E-4</v>
      </c>
      <c r="J15" s="181"/>
      <c r="K15" s="73"/>
      <c r="L15" s="69"/>
    </row>
    <row r="16" spans="1:12" ht="12" customHeight="1">
      <c r="A16" s="6" t="s">
        <v>773</v>
      </c>
      <c r="B16" s="6" t="s">
        <v>393</v>
      </c>
      <c r="C16" s="7" t="s">
        <v>421</v>
      </c>
      <c r="D16" s="8">
        <f>ROUNDUP((54.47*0.07)+(0.06*1.15*1.2)+(41.76*0.08),2)</f>
        <v>7.24</v>
      </c>
      <c r="E16" s="6" t="s">
        <v>6</v>
      </c>
      <c r="F16" s="9">
        <v>185.57</v>
      </c>
      <c r="G16" s="9">
        <f t="shared" si="0"/>
        <v>226.3954</v>
      </c>
      <c r="H16" s="9">
        <f>ROUNDDOWN(D16*F16*(1+$H$8),2)</f>
        <v>1639.1</v>
      </c>
      <c r="I16" s="44">
        <f t="shared" ref="I16:I40" si="1">ROUNDDOWN(H16/$H$186,4)</f>
        <v>2.8999999999999998E-3</v>
      </c>
      <c r="J16" s="181"/>
      <c r="K16" s="73"/>
      <c r="L16" s="69"/>
    </row>
    <row r="17" spans="1:12" ht="12" customHeight="1">
      <c r="A17" s="6" t="s">
        <v>774</v>
      </c>
      <c r="B17" s="6" t="s">
        <v>540</v>
      </c>
      <c r="C17" s="7" t="s">
        <v>539</v>
      </c>
      <c r="D17" s="33">
        <f>ROUNDUP((21.77*0.12)+((6.08+4.85)*0.5*0.2+3*(0.4*0.2*3)),2)</f>
        <v>4.43</v>
      </c>
      <c r="E17" s="6" t="s">
        <v>6</v>
      </c>
      <c r="F17" s="9">
        <v>337.4</v>
      </c>
      <c r="G17" s="9">
        <f t="shared" si="0"/>
        <v>411.62799999999999</v>
      </c>
      <c r="H17" s="9">
        <f>ROUNDDOWN(D17*F17*(1+$H$8),2)</f>
        <v>1823.51</v>
      </c>
      <c r="I17" s="44">
        <f>ROUNDUP(H17/$H$186,4)</f>
        <v>3.3E-3</v>
      </c>
      <c r="J17" s="181"/>
      <c r="K17" s="73"/>
      <c r="L17" s="69"/>
    </row>
    <row r="18" spans="1:12" ht="24">
      <c r="A18" s="6" t="s">
        <v>775</v>
      </c>
      <c r="B18" s="6" t="s">
        <v>394</v>
      </c>
      <c r="C18" s="7" t="s">
        <v>422</v>
      </c>
      <c r="D18" s="8">
        <f>63.48</f>
        <v>63.48</v>
      </c>
      <c r="E18" s="6" t="s">
        <v>5</v>
      </c>
      <c r="F18" s="9">
        <v>10.119999999999999</v>
      </c>
      <c r="G18" s="9">
        <f t="shared" si="0"/>
        <v>12.346399999999999</v>
      </c>
      <c r="H18" s="9">
        <f t="shared" ref="H18:H24" si="2">ROUNDUP(D18*F18*(1+$H$8),2)</f>
        <v>783.75</v>
      </c>
      <c r="I18" s="44">
        <f t="shared" si="1"/>
        <v>1.4E-3</v>
      </c>
      <c r="J18" s="181"/>
      <c r="K18" s="73"/>
      <c r="L18" s="69"/>
    </row>
    <row r="19" spans="1:12" ht="12" customHeight="1">
      <c r="A19" s="6" t="s">
        <v>776</v>
      </c>
      <c r="B19" s="6" t="s">
        <v>395</v>
      </c>
      <c r="C19" s="7" t="s">
        <v>423</v>
      </c>
      <c r="D19" s="33">
        <f>(1.8*1.8)+(1.1*2.1)</f>
        <v>5.5500000000000007</v>
      </c>
      <c r="E19" s="6" t="s">
        <v>5</v>
      </c>
      <c r="F19" s="9">
        <v>26.18</v>
      </c>
      <c r="G19" s="9">
        <f t="shared" si="0"/>
        <v>31.939599999999999</v>
      </c>
      <c r="H19" s="9">
        <f>ROUNDDOWN(D19*F19*(1+$H$8),2)</f>
        <v>177.26</v>
      </c>
      <c r="I19" s="44">
        <f t="shared" si="1"/>
        <v>2.9999999999999997E-4</v>
      </c>
      <c r="J19" s="181"/>
      <c r="K19" s="73"/>
      <c r="L19" s="69"/>
    </row>
    <row r="20" spans="1:12" ht="24">
      <c r="A20" s="6" t="s">
        <v>777</v>
      </c>
      <c r="B20" s="6" t="s">
        <v>396</v>
      </c>
      <c r="C20" s="108" t="s">
        <v>424</v>
      </c>
      <c r="D20" s="8">
        <f>(8)*(2.1*2+0.8)+(2)*(2.1*2+0.7)</f>
        <v>49.8</v>
      </c>
      <c r="E20" s="109" t="s">
        <v>7</v>
      </c>
      <c r="F20" s="9">
        <v>11.22</v>
      </c>
      <c r="G20" s="9">
        <f t="shared" si="0"/>
        <v>13.6884</v>
      </c>
      <c r="H20" s="9">
        <f>ROUNDDOWN(D20*F20*(1+$H$8),2)</f>
        <v>681.68</v>
      </c>
      <c r="I20" s="44">
        <f t="shared" si="1"/>
        <v>1.1999999999999999E-3</v>
      </c>
      <c r="J20" s="181"/>
      <c r="K20" s="73"/>
      <c r="L20" s="69"/>
    </row>
    <row r="21" spans="1:12">
      <c r="A21" s="6" t="s">
        <v>778</v>
      </c>
      <c r="B21" s="6" t="s">
        <v>397</v>
      </c>
      <c r="C21" s="108" t="s">
        <v>425</v>
      </c>
      <c r="D21" s="8">
        <f>ESQUADRIAS!D21</f>
        <v>10</v>
      </c>
      <c r="E21" s="109" t="s">
        <v>29</v>
      </c>
      <c r="F21" s="9">
        <v>18.71</v>
      </c>
      <c r="G21" s="9">
        <f t="shared" si="0"/>
        <v>22.8262</v>
      </c>
      <c r="H21" s="9">
        <f>ROUNDDOWN(D21*F21*(1+$H$8),2)</f>
        <v>228.26</v>
      </c>
      <c r="I21" s="44">
        <f t="shared" si="1"/>
        <v>4.0000000000000002E-4</v>
      </c>
      <c r="J21" s="181"/>
      <c r="K21" s="73"/>
      <c r="L21" s="69"/>
    </row>
    <row r="22" spans="1:12" ht="12" customHeight="1">
      <c r="A22" s="6" t="s">
        <v>779</v>
      </c>
      <c r="B22" s="6" t="s">
        <v>398</v>
      </c>
      <c r="C22" s="108" t="s">
        <v>426</v>
      </c>
      <c r="D22" s="8">
        <f>(15+15)*1.1</f>
        <v>33</v>
      </c>
      <c r="E22" s="109" t="s">
        <v>5</v>
      </c>
      <c r="F22" s="9">
        <v>26.18</v>
      </c>
      <c r="G22" s="9">
        <f t="shared" si="0"/>
        <v>31.939599999999999</v>
      </c>
      <c r="H22" s="9">
        <f t="shared" si="2"/>
        <v>1054.01</v>
      </c>
      <c r="I22" s="44">
        <f>ROUNDUP(H22/$H$186,4)</f>
        <v>1.9E-3</v>
      </c>
      <c r="J22" s="181"/>
      <c r="K22" s="73"/>
      <c r="L22" s="69"/>
    </row>
    <row r="23" spans="1:12" ht="12" customHeight="1">
      <c r="A23" s="6" t="s">
        <v>780</v>
      </c>
      <c r="B23" s="6" t="s">
        <v>400</v>
      </c>
      <c r="C23" s="108" t="s">
        <v>536</v>
      </c>
      <c r="D23" s="8">
        <v>9</v>
      </c>
      <c r="E23" s="109" t="s">
        <v>29</v>
      </c>
      <c r="F23" s="9">
        <v>36.9</v>
      </c>
      <c r="G23" s="9">
        <f t="shared" si="0"/>
        <v>45.018000000000001</v>
      </c>
      <c r="H23" s="9">
        <f>ROUNDDOWN(D23*F23*(1+$H$8),2)</f>
        <v>405.16</v>
      </c>
      <c r="I23" s="44">
        <f t="shared" si="1"/>
        <v>6.9999999999999999E-4</v>
      </c>
      <c r="J23" s="181"/>
      <c r="K23" s="73"/>
      <c r="L23" s="69"/>
    </row>
    <row r="24" spans="1:12" ht="24">
      <c r="A24" s="6" t="s">
        <v>781</v>
      </c>
      <c r="B24" s="6" t="s">
        <v>399</v>
      </c>
      <c r="C24" s="108" t="s">
        <v>427</v>
      </c>
      <c r="D24" s="33">
        <v>2</v>
      </c>
      <c r="E24" s="109" t="s">
        <v>7</v>
      </c>
      <c r="F24" s="9">
        <v>6.75</v>
      </c>
      <c r="G24" s="9">
        <f t="shared" si="0"/>
        <v>8.2349999999999994</v>
      </c>
      <c r="H24" s="9">
        <f t="shared" si="2"/>
        <v>16.47</v>
      </c>
      <c r="I24" s="44">
        <f>ROUNDUP(H24/$H$186,4)</f>
        <v>1E-4</v>
      </c>
      <c r="J24" s="181"/>
      <c r="K24" s="73"/>
      <c r="L24" s="69"/>
    </row>
    <row r="25" spans="1:12" ht="12" customHeight="1">
      <c r="A25" s="6" t="s">
        <v>782</v>
      </c>
      <c r="B25" s="6" t="s">
        <v>401</v>
      </c>
      <c r="C25" s="108" t="s">
        <v>428</v>
      </c>
      <c r="D25" s="33">
        <v>3</v>
      </c>
      <c r="E25" s="109" t="s">
        <v>29</v>
      </c>
      <c r="F25" s="9">
        <v>6.4</v>
      </c>
      <c r="G25" s="9">
        <f t="shared" si="0"/>
        <v>7.8079999999999998</v>
      </c>
      <c r="H25" s="9">
        <f>ROUNDDOWN(D25*F25*(1+$H$8),2)</f>
        <v>23.42</v>
      </c>
      <c r="I25" s="44">
        <f>ROUNDUP(H25/$H$186,4)</f>
        <v>1E-4</v>
      </c>
      <c r="J25" s="181"/>
      <c r="K25" s="73"/>
      <c r="L25" s="69"/>
    </row>
    <row r="26" spans="1:12" ht="26.25" customHeight="1">
      <c r="A26" s="6" t="s">
        <v>783</v>
      </c>
      <c r="B26" s="6" t="s">
        <v>865</v>
      </c>
      <c r="C26" s="108" t="s">
        <v>864</v>
      </c>
      <c r="D26" s="33">
        <v>60.69</v>
      </c>
      <c r="E26" s="109" t="s">
        <v>5</v>
      </c>
      <c r="F26" s="9">
        <v>11.22</v>
      </c>
      <c r="G26" s="9">
        <f t="shared" ref="G26" si="3">F26*(1+$H$8)</f>
        <v>13.6884</v>
      </c>
      <c r="H26" s="9">
        <f t="shared" ref="H26" si="4">ROUNDUP(D26*F26*(1+$H$8),2)</f>
        <v>830.75</v>
      </c>
      <c r="I26" s="44">
        <f>ROUNDUP(H26/$H$186,4)</f>
        <v>1.5E-3</v>
      </c>
      <c r="J26" s="181"/>
      <c r="K26" s="73"/>
      <c r="L26" s="69"/>
    </row>
    <row r="27" spans="1:12" ht="12" customHeight="1">
      <c r="A27" s="6" t="s">
        <v>784</v>
      </c>
      <c r="B27" s="6" t="s">
        <v>517</v>
      </c>
      <c r="C27" s="7" t="s">
        <v>518</v>
      </c>
      <c r="D27" s="33">
        <f>ROUNDUP(60.69*1.08,2)</f>
        <v>65.550000000000011</v>
      </c>
      <c r="E27" s="6" t="s">
        <v>5</v>
      </c>
      <c r="F27" s="9">
        <v>6.75</v>
      </c>
      <c r="G27" s="9">
        <f t="shared" si="0"/>
        <v>8.2349999999999994</v>
      </c>
      <c r="H27" s="9">
        <f>ROUNDDOWN(D27*F27*(1+$H$8),2)</f>
        <v>539.79999999999995</v>
      </c>
      <c r="I27" s="44">
        <f>ROUNDUP(H27/$H$186,4)</f>
        <v>1E-3</v>
      </c>
      <c r="J27" s="181"/>
      <c r="K27" s="73"/>
      <c r="L27" s="69"/>
    </row>
    <row r="28" spans="1:12" ht="12" customHeight="1">
      <c r="A28" s="6" t="s">
        <v>785</v>
      </c>
      <c r="B28" s="6" t="s">
        <v>943</v>
      </c>
      <c r="C28" s="32" t="s">
        <v>944</v>
      </c>
      <c r="D28" s="33">
        <v>1</v>
      </c>
      <c r="E28" s="109" t="s">
        <v>29</v>
      </c>
      <c r="F28" s="9">
        <v>248.96</v>
      </c>
      <c r="G28" s="9">
        <f t="shared" ref="G28" si="5">F28*(1+$H$8)</f>
        <v>303.7312</v>
      </c>
      <c r="H28" s="9">
        <f>ROUNDDOWN(D28*F28*(1+$H$8),2)</f>
        <v>303.73</v>
      </c>
      <c r="I28" s="44">
        <f t="shared" si="1"/>
        <v>5.0000000000000001E-4</v>
      </c>
      <c r="J28" s="181"/>
      <c r="K28" s="73"/>
      <c r="L28" s="69"/>
    </row>
    <row r="29" spans="1:12" ht="36">
      <c r="A29" s="6" t="s">
        <v>942</v>
      </c>
      <c r="B29" s="6" t="s">
        <v>273</v>
      </c>
      <c r="C29" s="108" t="s">
        <v>274</v>
      </c>
      <c r="D29" s="8">
        <f>ROUNDUP((D13+(D14*0.01)+D16+D17)*1.3,2)</f>
        <v>29.860000000000003</v>
      </c>
      <c r="E29" s="109" t="s">
        <v>6</v>
      </c>
      <c r="F29" s="9">
        <v>101.03</v>
      </c>
      <c r="G29" s="9">
        <f t="shared" si="0"/>
        <v>123.25659999999999</v>
      </c>
      <c r="H29" s="9">
        <f>ROUNDDOWN(D29*F29*(1+$H$8),2)</f>
        <v>3680.44</v>
      </c>
      <c r="I29" s="44">
        <f t="shared" si="1"/>
        <v>6.6E-3</v>
      </c>
      <c r="J29" s="181"/>
      <c r="K29" s="73"/>
      <c r="L29" s="69"/>
    </row>
    <row r="30" spans="1:12">
      <c r="A30" s="4">
        <v>3</v>
      </c>
      <c r="B30" s="211" t="s">
        <v>564</v>
      </c>
      <c r="C30" s="215"/>
      <c r="D30" s="215"/>
      <c r="E30" s="215"/>
      <c r="F30" s="215"/>
      <c r="G30" s="216"/>
      <c r="H30" s="10">
        <f>SUM(H31:H40)</f>
        <v>20546.420000000002</v>
      </c>
      <c r="I30" s="43">
        <f>ROUNDDOWN(H30/$H$186,4)</f>
        <v>3.6999999999999998E-2</v>
      </c>
      <c r="J30" s="181"/>
      <c r="K30" s="73"/>
      <c r="L30" s="69"/>
    </row>
    <row r="31" spans="1:12" ht="24.75" customHeight="1">
      <c r="A31" s="6" t="s">
        <v>767</v>
      </c>
      <c r="B31" s="6" t="s">
        <v>695</v>
      </c>
      <c r="C31" s="7" t="s">
        <v>696</v>
      </c>
      <c r="D31" s="33">
        <f>ROUNDDOWN((103.57-101.4)*13.85/2*3.05,2)</f>
        <v>45.83</v>
      </c>
      <c r="E31" s="6" t="s">
        <v>6</v>
      </c>
      <c r="F31" s="9">
        <v>11.28</v>
      </c>
      <c r="G31" s="9">
        <f>F31*(1+$H$8)</f>
        <v>13.7616</v>
      </c>
      <c r="H31" s="9">
        <f>ROUNDDOWN(D31*F31*(1+$H$8),2)</f>
        <v>630.69000000000005</v>
      </c>
      <c r="I31" s="44">
        <f t="shared" si="1"/>
        <v>1.1000000000000001E-3</v>
      </c>
      <c r="J31" s="181"/>
      <c r="K31" s="73"/>
      <c r="L31" s="69"/>
    </row>
    <row r="32" spans="1:12" ht="24">
      <c r="A32" s="6" t="s">
        <v>786</v>
      </c>
      <c r="B32" s="6" t="s">
        <v>537</v>
      </c>
      <c r="C32" s="7" t="s">
        <v>538</v>
      </c>
      <c r="D32" s="8">
        <f>(26.57*1)+(1.2*25)</f>
        <v>56.57</v>
      </c>
      <c r="E32" s="14" t="s">
        <v>6</v>
      </c>
      <c r="F32" s="9">
        <v>52.11</v>
      </c>
      <c r="G32" s="9">
        <f t="shared" si="0"/>
        <v>63.574199999999998</v>
      </c>
      <c r="H32" s="9">
        <f>ROUNDDOWN(D32*F32*(1+$H$8),2)</f>
        <v>3596.39</v>
      </c>
      <c r="I32" s="44">
        <f>ROUNDUP(H32/$H$186,4)</f>
        <v>6.5000000000000006E-3</v>
      </c>
      <c r="J32" s="181"/>
      <c r="K32" s="73"/>
      <c r="L32" s="69"/>
    </row>
    <row r="33" spans="1:15">
      <c r="A33" s="6" t="s">
        <v>787</v>
      </c>
      <c r="B33" s="6" t="s">
        <v>356</v>
      </c>
      <c r="C33" s="7" t="s">
        <v>357</v>
      </c>
      <c r="D33" s="8">
        <f>FUNDAÇÃO!C8+FUNDAÇÃO!C20</f>
        <v>21.52</v>
      </c>
      <c r="E33" s="6" t="s">
        <v>5</v>
      </c>
      <c r="F33" s="9">
        <v>92.5</v>
      </c>
      <c r="G33" s="9">
        <f t="shared" si="0"/>
        <v>112.85</v>
      </c>
      <c r="H33" s="9">
        <f t="shared" ref="H33" si="6">ROUNDDOWN(D33*F33*(1+$H$8),2)</f>
        <v>2428.5300000000002</v>
      </c>
      <c r="I33" s="44">
        <f>ROUNDUP(H33/$H$186,4)</f>
        <v>4.4000000000000003E-3</v>
      </c>
      <c r="J33" s="181"/>
      <c r="K33" s="73"/>
      <c r="L33" s="69"/>
    </row>
    <row r="34" spans="1:15">
      <c r="A34" s="6" t="s">
        <v>788</v>
      </c>
      <c r="B34" s="6" t="s">
        <v>358</v>
      </c>
      <c r="C34" s="7" t="s">
        <v>359</v>
      </c>
      <c r="D34" s="8">
        <f>FUNDAÇÃO!C11+FUNDAÇÃO!C23</f>
        <v>0.41000000000000003</v>
      </c>
      <c r="E34" s="6" t="s">
        <v>6</v>
      </c>
      <c r="F34" s="9">
        <v>652.59</v>
      </c>
      <c r="G34" s="9">
        <f t="shared" si="0"/>
        <v>796.15980000000002</v>
      </c>
      <c r="H34" s="9">
        <f>ROUNDUP(D34*F34*(1+$H$8),2)</f>
        <v>326.43</v>
      </c>
      <c r="I34" s="44">
        <f>ROUNDUP(H34/$H$186,4)</f>
        <v>6.0000000000000006E-4</v>
      </c>
      <c r="J34" s="181"/>
      <c r="K34" s="73"/>
      <c r="L34" s="69"/>
    </row>
    <row r="35" spans="1:15">
      <c r="A35" s="6" t="s">
        <v>789</v>
      </c>
      <c r="B35" s="6" t="s">
        <v>115</v>
      </c>
      <c r="C35" s="7" t="s">
        <v>116</v>
      </c>
      <c r="D35" s="8">
        <f>FUNDAÇÃO!C7+FUNDAÇÃO!C19</f>
        <v>1.6199999999999999</v>
      </c>
      <c r="E35" s="6" t="s">
        <v>6</v>
      </c>
      <c r="F35" s="9">
        <v>477.29</v>
      </c>
      <c r="G35" s="9">
        <f t="shared" si="0"/>
        <v>582.29380000000003</v>
      </c>
      <c r="H35" s="9">
        <f>ROUNDUP(D35*F35*(1+$H$8),2)</f>
        <v>943.31999999999994</v>
      </c>
      <c r="I35" s="44">
        <f>ROUNDUP(H35/$H$186,4)</f>
        <v>1.7000000000000001E-3</v>
      </c>
      <c r="J35" s="181"/>
      <c r="K35" s="73"/>
      <c r="L35" s="69"/>
    </row>
    <row r="36" spans="1:15" ht="24">
      <c r="A36" s="6" t="s">
        <v>790</v>
      </c>
      <c r="B36" s="6" t="s">
        <v>360</v>
      </c>
      <c r="C36" s="7" t="s">
        <v>361</v>
      </c>
      <c r="D36" s="8">
        <f>D35</f>
        <v>1.6199999999999999</v>
      </c>
      <c r="E36" s="6" t="s">
        <v>6</v>
      </c>
      <c r="F36" s="9">
        <v>142.28</v>
      </c>
      <c r="G36" s="9">
        <f t="shared" si="0"/>
        <v>173.58160000000001</v>
      </c>
      <c r="H36" s="9">
        <f>ROUNDDOWN(D36*F36*(1+$H$8),2)</f>
        <v>281.2</v>
      </c>
      <c r="I36" s="44">
        <f t="shared" si="1"/>
        <v>5.0000000000000001E-4</v>
      </c>
      <c r="J36" s="181"/>
      <c r="K36" s="73"/>
      <c r="L36" s="69"/>
    </row>
    <row r="37" spans="1:15">
      <c r="A37" s="6" t="s">
        <v>791</v>
      </c>
      <c r="B37" s="6" t="s">
        <v>20</v>
      </c>
      <c r="C37" s="7" t="s">
        <v>117</v>
      </c>
      <c r="D37" s="8">
        <f>FUNDAÇÃO!C9+FUNDAÇÃO!C21</f>
        <v>132.79</v>
      </c>
      <c r="E37" s="6" t="s">
        <v>19</v>
      </c>
      <c r="F37" s="9">
        <v>10.94</v>
      </c>
      <c r="G37" s="9">
        <f t="shared" si="0"/>
        <v>13.346799999999998</v>
      </c>
      <c r="H37" s="9">
        <f>ROUNDDOWN(D37*F37*(1+$H$8),2)</f>
        <v>1772.32</v>
      </c>
      <c r="I37" s="44">
        <f>ROUNDUP(H37/$H$186,4)</f>
        <v>3.1999999999999997E-3</v>
      </c>
      <c r="J37" s="181"/>
      <c r="K37" s="73"/>
      <c r="L37" s="69"/>
    </row>
    <row r="38" spans="1:15">
      <c r="A38" s="6" t="s">
        <v>792</v>
      </c>
      <c r="B38" s="6" t="s">
        <v>118</v>
      </c>
      <c r="C38" s="7" t="s">
        <v>119</v>
      </c>
      <c r="D38" s="8">
        <f>FUNDAÇÃO!C10+FUNDAÇÃO!C22</f>
        <v>19.049999999999997</v>
      </c>
      <c r="E38" s="6" t="s">
        <v>19</v>
      </c>
      <c r="F38" s="9">
        <v>12.17</v>
      </c>
      <c r="G38" s="9">
        <f t="shared" si="0"/>
        <v>14.8474</v>
      </c>
      <c r="H38" s="9">
        <f>ROUNDDOWN(D38*F38*(1+$H$8),2)</f>
        <v>282.83999999999997</v>
      </c>
      <c r="I38" s="44">
        <f t="shared" si="1"/>
        <v>5.0000000000000001E-4</v>
      </c>
      <c r="J38" s="181"/>
      <c r="K38" s="73"/>
      <c r="L38" s="69"/>
    </row>
    <row r="39" spans="1:15">
      <c r="A39" s="6" t="s">
        <v>793</v>
      </c>
      <c r="B39" s="6" t="s">
        <v>364</v>
      </c>
      <c r="C39" s="7" t="s">
        <v>365</v>
      </c>
      <c r="D39" s="8">
        <f>FUNDAÇÃO!C13+FUNDAÇÃO!C25</f>
        <v>4.24</v>
      </c>
      <c r="E39" s="6" t="s">
        <v>6</v>
      </c>
      <c r="F39" s="9">
        <v>838.12</v>
      </c>
      <c r="G39" s="9">
        <f t="shared" si="0"/>
        <v>1022.5064</v>
      </c>
      <c r="H39" s="9">
        <f>ROUNDUP(D39*F39*(1+$H$8),2)</f>
        <v>4335.43</v>
      </c>
      <c r="I39" s="44">
        <f t="shared" si="1"/>
        <v>7.7999999999999996E-3</v>
      </c>
      <c r="J39" s="181"/>
      <c r="K39" s="73"/>
      <c r="L39" s="69"/>
    </row>
    <row r="40" spans="1:15">
      <c r="A40" s="6" t="s">
        <v>866</v>
      </c>
      <c r="B40" s="6" t="s">
        <v>18</v>
      </c>
      <c r="C40" s="7" t="s">
        <v>123</v>
      </c>
      <c r="D40" s="8">
        <f>((6+6)*4)+(7*3)+(4*4)</f>
        <v>85</v>
      </c>
      <c r="E40" s="6" t="s">
        <v>7</v>
      </c>
      <c r="F40" s="9">
        <v>57.37</v>
      </c>
      <c r="G40" s="9">
        <f t="shared" si="0"/>
        <v>69.991399999999999</v>
      </c>
      <c r="H40" s="9">
        <f>ROUNDUP(D40*F40*(1+$H$8),2)</f>
        <v>5949.27</v>
      </c>
      <c r="I40" s="44">
        <f t="shared" si="1"/>
        <v>1.0699999999999999E-2</v>
      </c>
      <c r="J40" s="181"/>
      <c r="K40" s="73"/>
      <c r="L40" s="69"/>
    </row>
    <row r="41" spans="1:15">
      <c r="A41" s="4">
        <v>4</v>
      </c>
      <c r="B41" s="211" t="s">
        <v>113</v>
      </c>
      <c r="C41" s="215"/>
      <c r="D41" s="215"/>
      <c r="E41" s="215"/>
      <c r="F41" s="215"/>
      <c r="G41" s="216"/>
      <c r="H41" s="10">
        <f>SUM(H42:H47)</f>
        <v>39266.519999999997</v>
      </c>
      <c r="I41" s="43">
        <f>ROUNDDOWN(H41/$H$186,4)</f>
        <v>7.0699999999999999E-2</v>
      </c>
      <c r="J41" s="181"/>
      <c r="K41" s="73"/>
      <c r="L41" s="69"/>
    </row>
    <row r="42" spans="1:15">
      <c r="A42" s="31" t="s">
        <v>766</v>
      </c>
      <c r="B42" s="6" t="s">
        <v>21</v>
      </c>
      <c r="C42" s="7" t="s">
        <v>114</v>
      </c>
      <c r="D42" s="8">
        <f>ESTRUTURA!H20+ESTRUTURA!N7</f>
        <v>83.67</v>
      </c>
      <c r="E42" s="6" t="s">
        <v>5</v>
      </c>
      <c r="F42" s="9">
        <v>238</v>
      </c>
      <c r="G42" s="9">
        <f t="shared" si="0"/>
        <v>290.36</v>
      </c>
      <c r="H42" s="9">
        <f>ROUNDDOWN(D42*F42*(1+$H$8),2)</f>
        <v>24294.42</v>
      </c>
      <c r="I42" s="44">
        <f>ROUNDDOWN(H42/$H$186,4)</f>
        <v>4.3700000000000003E-2</v>
      </c>
      <c r="J42" s="181"/>
      <c r="K42" s="73"/>
      <c r="L42" s="69"/>
    </row>
    <row r="43" spans="1:15">
      <c r="A43" s="31" t="s">
        <v>794</v>
      </c>
      <c r="B43" s="6" t="s">
        <v>115</v>
      </c>
      <c r="C43" s="7" t="s">
        <v>116</v>
      </c>
      <c r="D43" s="8">
        <f>ESTRUTURA!G20+ESTRUTURA!N6</f>
        <v>5.0599999999999996</v>
      </c>
      <c r="E43" s="6" t="s">
        <v>6</v>
      </c>
      <c r="F43" s="9">
        <v>477.29</v>
      </c>
      <c r="G43" s="9">
        <f t="shared" si="0"/>
        <v>582.29380000000003</v>
      </c>
      <c r="H43" s="9">
        <f>ROUNDUP(D43*F43*(1+$H$8),2)</f>
        <v>2946.4100000000003</v>
      </c>
      <c r="I43" s="44">
        <f t="shared" ref="I43:I46" si="7">ROUNDDOWN(H43/$H$186,4)</f>
        <v>5.3E-3</v>
      </c>
      <c r="J43" s="181"/>
      <c r="K43" s="73"/>
      <c r="L43" s="69"/>
    </row>
    <row r="44" spans="1:15" ht="24">
      <c r="A44" s="31" t="s">
        <v>795</v>
      </c>
      <c r="B44" s="6" t="s">
        <v>141</v>
      </c>
      <c r="C44" s="7" t="s">
        <v>140</v>
      </c>
      <c r="D44" s="8">
        <f>D43</f>
        <v>5.0599999999999996</v>
      </c>
      <c r="E44" s="6" t="s">
        <v>6</v>
      </c>
      <c r="F44" s="9">
        <v>98.28</v>
      </c>
      <c r="G44" s="9">
        <f t="shared" si="0"/>
        <v>119.9016</v>
      </c>
      <c r="H44" s="9">
        <f>ROUNDDOWN(D44*F44*(1+$H$8),2)</f>
        <v>606.70000000000005</v>
      </c>
      <c r="I44" s="44">
        <f>ROUNDUP(H44/$H$186,4)</f>
        <v>1.1000000000000001E-3</v>
      </c>
      <c r="J44" s="181"/>
      <c r="K44" s="73"/>
      <c r="L44" s="1"/>
    </row>
    <row r="45" spans="1:15">
      <c r="A45" s="31" t="s">
        <v>796</v>
      </c>
      <c r="B45" s="6" t="s">
        <v>20</v>
      </c>
      <c r="C45" s="7" t="s">
        <v>117</v>
      </c>
      <c r="D45" s="8">
        <f>ESTRUTURA!I20+ESTRUTURA!N8</f>
        <v>311.22000000000003</v>
      </c>
      <c r="E45" s="6" t="s">
        <v>19</v>
      </c>
      <c r="F45" s="9">
        <v>10.94</v>
      </c>
      <c r="G45" s="9">
        <f t="shared" si="0"/>
        <v>13.346799999999998</v>
      </c>
      <c r="H45" s="9">
        <f>ROUNDDOWN(D45*F45*(1+$H$8),2)</f>
        <v>4153.79</v>
      </c>
      <c r="I45" s="44">
        <f>ROUNDUP(H45/$H$186,4)</f>
        <v>7.5000000000000006E-3</v>
      </c>
      <c r="J45" s="181"/>
      <c r="K45" s="73"/>
      <c r="L45" s="1"/>
    </row>
    <row r="46" spans="1:15">
      <c r="A46" s="31" t="s">
        <v>797</v>
      </c>
      <c r="B46" s="6" t="s">
        <v>118</v>
      </c>
      <c r="C46" s="7" t="s">
        <v>119</v>
      </c>
      <c r="D46" s="8">
        <f>ESTRUTURA!J20+ESTRUTURA!N9</f>
        <v>56.33</v>
      </c>
      <c r="E46" s="6" t="s">
        <v>19</v>
      </c>
      <c r="F46" s="9">
        <v>12.17</v>
      </c>
      <c r="G46" s="9">
        <f t="shared" si="0"/>
        <v>14.8474</v>
      </c>
      <c r="H46" s="9">
        <f>ROUNDDOWN(D46*F46*(1+$H$8),2)</f>
        <v>836.35</v>
      </c>
      <c r="I46" s="44">
        <f t="shared" si="7"/>
        <v>1.5E-3</v>
      </c>
      <c r="J46" s="181"/>
      <c r="K46" s="73"/>
      <c r="L46" s="1"/>
    </row>
    <row r="47" spans="1:15" ht="24">
      <c r="A47" s="31" t="s">
        <v>798</v>
      </c>
      <c r="B47" s="6" t="s">
        <v>281</v>
      </c>
      <c r="C47" s="7" t="s">
        <v>949</v>
      </c>
      <c r="D47" s="8">
        <v>31.75</v>
      </c>
      <c r="E47" s="6" t="s">
        <v>5</v>
      </c>
      <c r="F47" s="9">
        <v>165.97</v>
      </c>
      <c r="G47" s="9">
        <f t="shared" si="0"/>
        <v>202.48339999999999</v>
      </c>
      <c r="H47" s="9">
        <f>ROUNDUP(D47*F47*(1+$H$8),2)</f>
        <v>6428.85</v>
      </c>
      <c r="I47" s="44">
        <f>ROUNDUP(H47/$H$186,4)</f>
        <v>1.1599999999999999E-2</v>
      </c>
      <c r="J47" s="181"/>
      <c r="K47" s="73"/>
      <c r="L47" s="1"/>
    </row>
    <row r="48" spans="1:15">
      <c r="A48" s="4">
        <v>5</v>
      </c>
      <c r="B48" s="211" t="s">
        <v>80</v>
      </c>
      <c r="C48" s="215"/>
      <c r="D48" s="215"/>
      <c r="E48" s="215"/>
      <c r="F48" s="215"/>
      <c r="G48" s="216"/>
      <c r="H48" s="5">
        <f>SUM(H49:H50)</f>
        <v>23876.21</v>
      </c>
      <c r="I48" s="43">
        <f>ROUNDDOWN(H48/$H$186,4)</f>
        <v>4.2999999999999997E-2</v>
      </c>
      <c r="J48" s="181"/>
      <c r="K48" s="73"/>
      <c r="L48" s="80"/>
      <c r="M48" s="45"/>
      <c r="O48" s="89"/>
    </row>
    <row r="49" spans="1:13" ht="24">
      <c r="A49" s="31" t="s">
        <v>799</v>
      </c>
      <c r="B49" s="14" t="s">
        <v>22</v>
      </c>
      <c r="C49" s="13" t="s">
        <v>70</v>
      </c>
      <c r="D49" s="33">
        <f>(0.45*2.2)+(1.1*2.1)+(30*0.5)+(2*2.6)+((3.65*4.4)+(3.18*4.4)+(3.12*3.35-0.8*2.1)+(14*4.4-0.8*2.1-3*2*1)+(14*4.4))+(0.8*2.1)+(1.5*2.2)+(8.94*3.2-2*2*1-0.8*2.1)+(9.72-0.53-1.8*0.5-0.6*0.6)+((19.95-1.65)*1.5)+(7.4)</f>
        <v>248.53200000000007</v>
      </c>
      <c r="E49" s="14" t="s">
        <v>5</v>
      </c>
      <c r="F49" s="9">
        <v>78.14</v>
      </c>
      <c r="G49" s="9">
        <f t="shared" si="0"/>
        <v>95.330799999999996</v>
      </c>
      <c r="H49" s="9">
        <f>ROUNDDOWN(D49*F49*(1+$H$8),2)</f>
        <v>23692.75</v>
      </c>
      <c r="I49" s="44">
        <f>ROUNDUP(H49/$H$186,4)</f>
        <v>4.2700000000000002E-2</v>
      </c>
      <c r="J49" s="181"/>
      <c r="K49" s="73"/>
      <c r="L49" s="80"/>
      <c r="M49" s="45"/>
    </row>
    <row r="50" spans="1:13" ht="24">
      <c r="A50" s="31" t="s">
        <v>800</v>
      </c>
      <c r="B50" s="6" t="s">
        <v>711</v>
      </c>
      <c r="C50" s="7" t="s">
        <v>712</v>
      </c>
      <c r="D50" s="33">
        <f>1*0.8</f>
        <v>0.8</v>
      </c>
      <c r="E50" s="14" t="s">
        <v>5</v>
      </c>
      <c r="F50" s="9">
        <v>187.97</v>
      </c>
      <c r="G50" s="9">
        <f t="shared" si="0"/>
        <v>229.32339999999999</v>
      </c>
      <c r="H50" s="9">
        <f>ROUNDUP(D50*F50*(1+$H$8),2)</f>
        <v>183.45999999999998</v>
      </c>
      <c r="I50" s="44">
        <f>ROUNDDOWN(H50/$H$186,4)</f>
        <v>2.9999999999999997E-4</v>
      </c>
      <c r="J50" s="181"/>
      <c r="K50" s="73"/>
      <c r="L50" s="80"/>
      <c r="M50" s="45"/>
    </row>
    <row r="51" spans="1:13">
      <c r="A51" s="4">
        <v>6</v>
      </c>
      <c r="B51" s="211" t="s">
        <v>479</v>
      </c>
      <c r="C51" s="212"/>
      <c r="D51" s="212"/>
      <c r="E51" s="212"/>
      <c r="F51" s="212"/>
      <c r="G51" s="213"/>
      <c r="H51" s="10">
        <f>SUM(H52:H69)</f>
        <v>54872.26</v>
      </c>
      <c r="I51" s="43">
        <f>ROUNDUP(H51/$H$186,4)</f>
        <v>9.8900000000000002E-2</v>
      </c>
      <c r="J51" s="181"/>
      <c r="K51" s="73"/>
      <c r="L51" s="69"/>
    </row>
    <row r="52" spans="1:13">
      <c r="A52" s="6" t="s">
        <v>684</v>
      </c>
      <c r="B52" s="6" t="s">
        <v>436</v>
      </c>
      <c r="C52" s="7" t="s">
        <v>509</v>
      </c>
      <c r="D52" s="8">
        <f>ESQUADRIAS!J4</f>
        <v>4</v>
      </c>
      <c r="E52" s="14" t="s">
        <v>29</v>
      </c>
      <c r="F52" s="9">
        <v>597.99</v>
      </c>
      <c r="G52" s="9">
        <f t="shared" si="0"/>
        <v>729.54780000000005</v>
      </c>
      <c r="H52" s="9">
        <f>ROUNDDOWN(D52*F52*(1+$H$8),2)</f>
        <v>2918.19</v>
      </c>
      <c r="I52" s="44">
        <f>ROUNDUP(H52/$H$186,4)</f>
        <v>5.3E-3</v>
      </c>
      <c r="J52" s="181"/>
      <c r="K52" s="73"/>
      <c r="L52" s="69"/>
    </row>
    <row r="53" spans="1:13">
      <c r="A53" s="6" t="s">
        <v>686</v>
      </c>
      <c r="B53" s="6" t="s">
        <v>435</v>
      </c>
      <c r="C53" s="7" t="s">
        <v>510</v>
      </c>
      <c r="D53" s="8">
        <f>ESQUADRIAS!J5</f>
        <v>13</v>
      </c>
      <c r="E53" s="14" t="s">
        <v>29</v>
      </c>
      <c r="F53" s="9">
        <v>611.29</v>
      </c>
      <c r="G53" s="9">
        <f t="shared" si="0"/>
        <v>745.77379999999994</v>
      </c>
      <c r="H53" s="9">
        <f>ROUNDUP(D53*F53*(1+$H$8),2)</f>
        <v>9695.06</v>
      </c>
      <c r="I53" s="44">
        <f>ROUNDUP(H53/$H$186,4)</f>
        <v>1.7499999999999998E-2</v>
      </c>
      <c r="J53" s="181"/>
      <c r="K53" s="73"/>
      <c r="L53" s="69"/>
    </row>
    <row r="54" spans="1:13" ht="24">
      <c r="A54" s="6" t="s">
        <v>801</v>
      </c>
      <c r="B54" s="14" t="s">
        <v>39</v>
      </c>
      <c r="C54" s="13" t="s">
        <v>41</v>
      </c>
      <c r="D54" s="8">
        <f>D52+D53</f>
        <v>17</v>
      </c>
      <c r="E54" s="14" t="s">
        <v>42</v>
      </c>
      <c r="F54" s="9">
        <v>321.93</v>
      </c>
      <c r="G54" s="9">
        <f t="shared" si="0"/>
        <v>392.75459999999998</v>
      </c>
      <c r="H54" s="9">
        <f>ROUNDUP(D54*F54*(1+$H$8),2)</f>
        <v>6676.83</v>
      </c>
      <c r="I54" s="44">
        <f t="shared" ref="I54:I68" si="8">ROUNDDOWN(H54/$H$186,4)</f>
        <v>1.2E-2</v>
      </c>
      <c r="J54" s="181"/>
      <c r="K54" s="73"/>
      <c r="L54" s="69"/>
    </row>
    <row r="55" spans="1:13">
      <c r="A55" s="6" t="s">
        <v>802</v>
      </c>
      <c r="B55" s="6" t="s">
        <v>250</v>
      </c>
      <c r="C55" s="7" t="s">
        <v>251</v>
      </c>
      <c r="D55" s="8">
        <v>2</v>
      </c>
      <c r="E55" s="14" t="s">
        <v>29</v>
      </c>
      <c r="F55" s="9">
        <v>1241.99</v>
      </c>
      <c r="G55" s="9">
        <f t="shared" si="0"/>
        <v>1515.2277999999999</v>
      </c>
      <c r="H55" s="9">
        <f>ROUNDUP(D55*F55*(1+$H$8),2)</f>
        <v>3030.46</v>
      </c>
      <c r="I55" s="44">
        <f>ROUNDUP(H55/$H$186,4)</f>
        <v>5.5000000000000005E-3</v>
      </c>
      <c r="J55" s="181"/>
      <c r="K55" s="73"/>
      <c r="L55" s="69"/>
    </row>
    <row r="56" spans="1:13" ht="24">
      <c r="A56" s="6" t="s">
        <v>803</v>
      </c>
      <c r="B56" s="6" t="s">
        <v>438</v>
      </c>
      <c r="C56" s="7" t="s">
        <v>511</v>
      </c>
      <c r="D56" s="8">
        <f>ESQUADRIAS!J6*0.8*2.1</f>
        <v>5.0400000000000009</v>
      </c>
      <c r="E56" s="6" t="s">
        <v>5</v>
      </c>
      <c r="F56" s="9">
        <v>818.17</v>
      </c>
      <c r="G56" s="9">
        <f t="shared" si="0"/>
        <v>998.16739999999993</v>
      </c>
      <c r="H56" s="9">
        <f>ROUNDDOWN(D56*F56*(1+$H$8),2)</f>
        <v>5030.76</v>
      </c>
      <c r="I56" s="44">
        <f>ROUNDUP(H56/$H$186,4)</f>
        <v>9.0999999999999987E-3</v>
      </c>
      <c r="J56" s="181"/>
      <c r="K56" s="73"/>
      <c r="L56" s="69"/>
    </row>
    <row r="57" spans="1:13" ht="24">
      <c r="A57" s="6" t="s">
        <v>804</v>
      </c>
      <c r="B57" s="6" t="s">
        <v>565</v>
      </c>
      <c r="C57" s="122" t="s">
        <v>566</v>
      </c>
      <c r="D57" s="21">
        <v>1</v>
      </c>
      <c r="E57" s="20" t="s">
        <v>29</v>
      </c>
      <c r="F57" s="9">
        <v>196.27</v>
      </c>
      <c r="G57" s="9">
        <f t="shared" si="0"/>
        <v>239.4494</v>
      </c>
      <c r="H57" s="9">
        <f>ROUNDUP(D57*F57*(1+$H$8),2)</f>
        <v>239.45</v>
      </c>
      <c r="I57" s="44">
        <f t="shared" si="8"/>
        <v>4.0000000000000002E-4</v>
      </c>
      <c r="J57" s="181"/>
      <c r="K57" s="73"/>
      <c r="L57" s="69"/>
    </row>
    <row r="58" spans="1:13" ht="24">
      <c r="A58" s="6" t="s">
        <v>805</v>
      </c>
      <c r="B58" s="20" t="s">
        <v>78</v>
      </c>
      <c r="C58" s="51" t="s">
        <v>79</v>
      </c>
      <c r="D58" s="21">
        <v>1</v>
      </c>
      <c r="E58" s="20" t="s">
        <v>29</v>
      </c>
      <c r="F58" s="22">
        <v>224.5</v>
      </c>
      <c r="G58" s="9">
        <f t="shared" si="0"/>
        <v>273.89</v>
      </c>
      <c r="H58" s="9">
        <f>ROUNDDOWN(D58*F58*(1+$H$8),2)</f>
        <v>273.89</v>
      </c>
      <c r="I58" s="44">
        <f>ROUNDUP(H58/$H$186,4)</f>
        <v>5.0000000000000001E-4</v>
      </c>
      <c r="J58" s="181"/>
      <c r="K58" s="73"/>
      <c r="L58" s="69"/>
    </row>
    <row r="59" spans="1:13" ht="12" customHeight="1">
      <c r="A59" s="6" t="s">
        <v>806</v>
      </c>
      <c r="B59" s="6" t="s">
        <v>279</v>
      </c>
      <c r="C59" s="7" t="s">
        <v>280</v>
      </c>
      <c r="D59" s="8">
        <f>D55</f>
        <v>2</v>
      </c>
      <c r="E59" s="6" t="s">
        <v>42</v>
      </c>
      <c r="F59" s="9">
        <v>274.79000000000002</v>
      </c>
      <c r="G59" s="9">
        <f t="shared" si="0"/>
        <v>335.24380000000002</v>
      </c>
      <c r="H59" s="9">
        <f t="shared" ref="H59:H65" si="9">ROUNDUP(D59*F59*(1+$H$8),2)</f>
        <v>670.49</v>
      </c>
      <c r="I59" s="44">
        <f t="shared" si="8"/>
        <v>1.1999999999999999E-3</v>
      </c>
      <c r="J59" s="181"/>
      <c r="K59" s="73"/>
      <c r="L59" s="69"/>
    </row>
    <row r="60" spans="1:13" ht="12" customHeight="1">
      <c r="A60" s="6" t="s">
        <v>807</v>
      </c>
      <c r="B60" s="6" t="s">
        <v>650</v>
      </c>
      <c r="C60" s="7" t="s">
        <v>651</v>
      </c>
      <c r="D60" s="8">
        <f>1.8*1.2</f>
        <v>2.16</v>
      </c>
      <c r="E60" s="6" t="s">
        <v>5</v>
      </c>
      <c r="F60" s="9">
        <v>865.22</v>
      </c>
      <c r="G60" s="9">
        <f t="shared" si="0"/>
        <v>1055.5684000000001</v>
      </c>
      <c r="H60" s="9">
        <f t="shared" si="9"/>
        <v>2280.0300000000002</v>
      </c>
      <c r="I60" s="44">
        <f t="shared" si="8"/>
        <v>4.1000000000000003E-3</v>
      </c>
      <c r="J60" s="181"/>
      <c r="K60" s="73"/>
      <c r="L60" s="69"/>
    </row>
    <row r="61" spans="1:13" ht="12" customHeight="1">
      <c r="A61" s="6" t="s">
        <v>808</v>
      </c>
      <c r="B61" s="6" t="s">
        <v>483</v>
      </c>
      <c r="C61" s="7" t="s">
        <v>484</v>
      </c>
      <c r="D61" s="8">
        <f>(1.8*0.5)+(1.8*0.6)</f>
        <v>1.98</v>
      </c>
      <c r="E61" s="6" t="s">
        <v>5</v>
      </c>
      <c r="F61" s="9">
        <v>859.99</v>
      </c>
      <c r="G61" s="9">
        <f t="shared" si="0"/>
        <v>1049.1877999999999</v>
      </c>
      <c r="H61" s="9">
        <f>ROUNDDOWN(D61*F61*(1+$H$8),2)</f>
        <v>2077.39</v>
      </c>
      <c r="I61" s="44">
        <f t="shared" si="8"/>
        <v>3.7000000000000002E-3</v>
      </c>
      <c r="J61" s="181"/>
      <c r="K61" s="73"/>
      <c r="L61" s="69"/>
    </row>
    <row r="62" spans="1:13">
      <c r="A62" s="6" t="s">
        <v>809</v>
      </c>
      <c r="B62" s="31" t="s">
        <v>248</v>
      </c>
      <c r="C62" s="32" t="s">
        <v>249</v>
      </c>
      <c r="D62" s="33">
        <f>(5*2*1)+(2*2.1)+(1.5*1)</f>
        <v>15.7</v>
      </c>
      <c r="E62" s="31" t="s">
        <v>5</v>
      </c>
      <c r="F62" s="34">
        <v>342.14</v>
      </c>
      <c r="G62" s="9">
        <f t="shared" si="0"/>
        <v>417.41079999999999</v>
      </c>
      <c r="H62" s="9">
        <f t="shared" si="9"/>
        <v>6553.35</v>
      </c>
      <c r="I62" s="44">
        <f t="shared" si="8"/>
        <v>1.18E-2</v>
      </c>
      <c r="J62" s="181"/>
      <c r="K62" s="73"/>
      <c r="L62" s="69"/>
    </row>
    <row r="63" spans="1:13">
      <c r="A63" s="6" t="s">
        <v>810</v>
      </c>
      <c r="B63" s="31" t="s">
        <v>437</v>
      </c>
      <c r="C63" s="32" t="s">
        <v>473</v>
      </c>
      <c r="D63" s="33">
        <f>0.8*2.1</f>
        <v>1.6800000000000002</v>
      </c>
      <c r="E63" s="31" t="s">
        <v>5</v>
      </c>
      <c r="F63" s="34">
        <v>497.22</v>
      </c>
      <c r="G63" s="9">
        <f t="shared" si="0"/>
        <v>606.60840000000007</v>
      </c>
      <c r="H63" s="9">
        <f>ROUNDDOWN(D63*F63*(1+$H$8),2)</f>
        <v>1019.1</v>
      </c>
      <c r="I63" s="44">
        <f t="shared" si="8"/>
        <v>1.8E-3</v>
      </c>
      <c r="J63" s="181"/>
      <c r="K63" s="73"/>
      <c r="L63" s="69"/>
    </row>
    <row r="64" spans="1:13">
      <c r="A64" s="6" t="s">
        <v>811</v>
      </c>
      <c r="B64" s="6" t="s">
        <v>446</v>
      </c>
      <c r="C64" s="32" t="s">
        <v>487</v>
      </c>
      <c r="D64" s="8">
        <f>3*0.6*0.6</f>
        <v>1.0799999999999998</v>
      </c>
      <c r="E64" s="6" t="s">
        <v>5</v>
      </c>
      <c r="F64" s="9">
        <v>678.99</v>
      </c>
      <c r="G64" s="9">
        <f t="shared" si="0"/>
        <v>828.36779999999999</v>
      </c>
      <c r="H64" s="9">
        <f t="shared" si="9"/>
        <v>894.64</v>
      </c>
      <c r="I64" s="44">
        <f t="shared" si="8"/>
        <v>1.6000000000000001E-3</v>
      </c>
      <c r="J64" s="181"/>
      <c r="K64" s="73"/>
      <c r="L64" s="69"/>
    </row>
    <row r="65" spans="1:12">
      <c r="A65" s="6" t="s">
        <v>812</v>
      </c>
      <c r="B65" s="6" t="s">
        <v>442</v>
      </c>
      <c r="C65" s="32" t="s">
        <v>512</v>
      </c>
      <c r="D65" s="8">
        <f>1.2*1.2</f>
        <v>1.44</v>
      </c>
      <c r="E65" s="6" t="s">
        <v>5</v>
      </c>
      <c r="F65" s="9">
        <v>394.41</v>
      </c>
      <c r="G65" s="9">
        <f t="shared" si="0"/>
        <v>481.18020000000001</v>
      </c>
      <c r="H65" s="9">
        <f t="shared" si="9"/>
        <v>692.9</v>
      </c>
      <c r="I65" s="44">
        <f>ROUNDUP(H65/$H$186,4)</f>
        <v>1.2999999999999999E-3</v>
      </c>
      <c r="J65" s="181"/>
      <c r="K65" s="73"/>
      <c r="L65" s="69"/>
    </row>
    <row r="66" spans="1:12">
      <c r="A66" s="6" t="s">
        <v>813</v>
      </c>
      <c r="B66" s="6" t="s">
        <v>485</v>
      </c>
      <c r="C66" s="32" t="s">
        <v>486</v>
      </c>
      <c r="D66" s="8">
        <f>D60+D61</f>
        <v>4.1400000000000006</v>
      </c>
      <c r="E66" s="6" t="s">
        <v>5</v>
      </c>
      <c r="F66" s="9">
        <v>261.27</v>
      </c>
      <c r="G66" s="9">
        <f t="shared" si="0"/>
        <v>318.74939999999998</v>
      </c>
      <c r="H66" s="9">
        <f>ROUNDDOWN(D66*F66*(1+$H$8),2)</f>
        <v>1319.62</v>
      </c>
      <c r="I66" s="44">
        <f>ROUNDUP(H66/$H$186,4)</f>
        <v>2.3999999999999998E-3</v>
      </c>
      <c r="J66" s="181"/>
      <c r="K66" s="73"/>
      <c r="L66" s="69"/>
    </row>
    <row r="67" spans="1:12">
      <c r="A67" s="6" t="s">
        <v>814</v>
      </c>
      <c r="B67" s="6" t="s">
        <v>715</v>
      </c>
      <c r="C67" s="32" t="s">
        <v>716</v>
      </c>
      <c r="D67" s="8">
        <f>2.3*2</f>
        <v>4.5999999999999996</v>
      </c>
      <c r="E67" s="6" t="s">
        <v>5</v>
      </c>
      <c r="F67" s="9">
        <v>320.02</v>
      </c>
      <c r="G67" s="9">
        <f t="shared" si="0"/>
        <v>390.42439999999999</v>
      </c>
      <c r="H67" s="9">
        <f>ROUNDDOWN(D67*F67*(1+$H$8),2)</f>
        <v>1795.95</v>
      </c>
      <c r="I67" s="44">
        <f t="shared" si="8"/>
        <v>3.2000000000000002E-3</v>
      </c>
      <c r="J67" s="181"/>
      <c r="K67" s="73"/>
      <c r="L67" s="69"/>
    </row>
    <row r="68" spans="1:12">
      <c r="A68" s="6" t="s">
        <v>815</v>
      </c>
      <c r="B68" s="6" t="s">
        <v>440</v>
      </c>
      <c r="C68" s="32" t="s">
        <v>516</v>
      </c>
      <c r="D68" s="8">
        <f>(0.9*2.1)+(1*2.1)</f>
        <v>3.99</v>
      </c>
      <c r="E68" s="6" t="s">
        <v>5</v>
      </c>
      <c r="F68" s="9">
        <v>970.57</v>
      </c>
      <c r="G68" s="9">
        <f t="shared" si="0"/>
        <v>1184.0953999999999</v>
      </c>
      <c r="H68" s="9">
        <f>ROUNDDOWN(D68*F68*(1+$H$8),2)</f>
        <v>4724.54</v>
      </c>
      <c r="I68" s="44">
        <f t="shared" si="8"/>
        <v>8.5000000000000006E-3</v>
      </c>
      <c r="J68" s="181"/>
      <c r="K68" s="73"/>
      <c r="L68" s="69"/>
    </row>
    <row r="69" spans="1:12">
      <c r="A69" s="6" t="s">
        <v>816</v>
      </c>
      <c r="B69" s="6" t="s">
        <v>514</v>
      </c>
      <c r="C69" s="32" t="s">
        <v>515</v>
      </c>
      <c r="D69" s="8">
        <f>1.5*2</f>
        <v>3</v>
      </c>
      <c r="E69" s="6" t="s">
        <v>5</v>
      </c>
      <c r="F69" s="9">
        <v>1360.55</v>
      </c>
      <c r="G69" s="9">
        <f t="shared" si="0"/>
        <v>1659.8709999999999</v>
      </c>
      <c r="H69" s="9">
        <f>ROUNDDOWN(D69*F69*(1+$H$8),2)</f>
        <v>4979.6099999999997</v>
      </c>
      <c r="I69" s="44">
        <f>ROUNDUP(H69/$H$186,4)</f>
        <v>8.9999999999999993E-3</v>
      </c>
      <c r="J69" s="181"/>
      <c r="K69" s="73"/>
      <c r="L69" s="69"/>
    </row>
    <row r="70" spans="1:12">
      <c r="A70" s="4">
        <v>7</v>
      </c>
      <c r="B70" s="211" t="s">
        <v>480</v>
      </c>
      <c r="C70" s="212"/>
      <c r="D70" s="212"/>
      <c r="E70" s="212"/>
      <c r="F70" s="212"/>
      <c r="G70" s="213"/>
      <c r="H70" s="10">
        <f>SUM(H71:H72)</f>
        <v>39312.47</v>
      </c>
      <c r="I70" s="43">
        <f>ROUNDDOWN(H70/$H$186,4)</f>
        <v>7.0800000000000002E-2</v>
      </c>
      <c r="J70" s="181"/>
      <c r="K70" s="73"/>
      <c r="L70" s="69"/>
    </row>
    <row r="71" spans="1:12">
      <c r="A71" s="6" t="s">
        <v>817</v>
      </c>
      <c r="B71" s="14" t="s">
        <v>30</v>
      </c>
      <c r="C71" s="7" t="s">
        <v>482</v>
      </c>
      <c r="D71" s="33">
        <f>(13*2+4+4*2)*2</f>
        <v>76</v>
      </c>
      <c r="E71" s="14" t="s">
        <v>7</v>
      </c>
      <c r="F71" s="9">
        <v>209</v>
      </c>
      <c r="G71" s="9">
        <f t="shared" si="0"/>
        <v>254.98</v>
      </c>
      <c r="H71" s="9">
        <f>ROUNDDOWN(D71*F71*(1+$H$8),2)</f>
        <v>19378.48</v>
      </c>
      <c r="I71" s="44">
        <f>ROUNDDOWN(H71/$H$186,4)</f>
        <v>3.49E-2</v>
      </c>
      <c r="J71" s="181"/>
      <c r="K71" s="73"/>
      <c r="L71" s="69"/>
    </row>
    <row r="72" spans="1:12" ht="24">
      <c r="A72" s="6" t="s">
        <v>818</v>
      </c>
      <c r="B72" s="6" t="s">
        <v>432</v>
      </c>
      <c r="C72" s="7" t="s">
        <v>481</v>
      </c>
      <c r="D72" s="33">
        <f>(19.95-1.65)</f>
        <v>18.3</v>
      </c>
      <c r="E72" s="6" t="s">
        <v>7</v>
      </c>
      <c r="F72" s="9">
        <v>892.86</v>
      </c>
      <c r="G72" s="9">
        <f t="shared" si="0"/>
        <v>1089.2891999999999</v>
      </c>
      <c r="H72" s="9">
        <f>ROUNDDOWN(D72*F72*(1+$H$8),2)</f>
        <v>19933.990000000002</v>
      </c>
      <c r="I72" s="44">
        <f>ROUNDDOWN(H72/$H$186,4)</f>
        <v>3.5900000000000001E-2</v>
      </c>
      <c r="J72" s="181"/>
      <c r="K72" s="73"/>
      <c r="L72" s="69"/>
    </row>
    <row r="73" spans="1:12">
      <c r="A73" s="4">
        <v>8</v>
      </c>
      <c r="B73" s="214" t="s">
        <v>46</v>
      </c>
      <c r="C73" s="212"/>
      <c r="D73" s="212"/>
      <c r="E73" s="212"/>
      <c r="F73" s="212"/>
      <c r="G73" s="213"/>
      <c r="H73" s="10">
        <f>SUM(H74:H75)</f>
        <v>12648.01</v>
      </c>
      <c r="I73" s="43">
        <f>ROUNDUP(H73/$H$186,4)</f>
        <v>2.2800000000000001E-2</v>
      </c>
      <c r="J73" s="181"/>
      <c r="K73" s="73"/>
      <c r="L73" s="69"/>
    </row>
    <row r="74" spans="1:12" ht="24">
      <c r="A74" s="6" t="s">
        <v>769</v>
      </c>
      <c r="B74" s="14" t="s">
        <v>32</v>
      </c>
      <c r="C74" s="13" t="s">
        <v>36</v>
      </c>
      <c r="D74" s="8">
        <f>(5*0.8)+(5*2)+(1.8)+(2)</f>
        <v>17.8</v>
      </c>
      <c r="E74" s="14" t="s">
        <v>7</v>
      </c>
      <c r="F74" s="9">
        <v>155.28</v>
      </c>
      <c r="G74" s="9">
        <f t="shared" si="0"/>
        <v>189.44159999999999</v>
      </c>
      <c r="H74" s="9">
        <f>ROUNDDOWN(D74*F74*(1+$H$8),2)</f>
        <v>3372.06</v>
      </c>
      <c r="I74" s="44">
        <f>ROUNDUP(H74/$H$186,4)</f>
        <v>6.1000000000000004E-3</v>
      </c>
      <c r="J74" s="181"/>
      <c r="K74" s="73"/>
      <c r="L74" s="69"/>
    </row>
    <row r="75" spans="1:12" ht="24">
      <c r="A75" s="6" t="s">
        <v>819</v>
      </c>
      <c r="B75" s="14" t="s">
        <v>31</v>
      </c>
      <c r="C75" s="13" t="s">
        <v>37</v>
      </c>
      <c r="D75" s="33">
        <f>0.9+0.6+0.9+(2*0.7)+(2*0.5)+(4.85*0.8)+(0.7)</f>
        <v>9.379999999999999</v>
      </c>
      <c r="E75" s="14" t="s">
        <v>5</v>
      </c>
      <c r="F75" s="9">
        <v>810.58</v>
      </c>
      <c r="G75" s="9">
        <f t="shared" si="0"/>
        <v>988.9076</v>
      </c>
      <c r="H75" s="9">
        <f>ROUNDDOWN(D75*F75*(1+$H$8),2)</f>
        <v>9275.9500000000007</v>
      </c>
      <c r="I75" s="44">
        <f>ROUNDDOWN(H75/$H$186,4)</f>
        <v>1.67E-2</v>
      </c>
      <c r="J75" s="181"/>
      <c r="K75" s="73"/>
      <c r="L75" s="69"/>
    </row>
    <row r="76" spans="1:12">
      <c r="A76" s="4">
        <v>9</v>
      </c>
      <c r="B76" s="214" t="s">
        <v>47</v>
      </c>
      <c r="C76" s="212"/>
      <c r="D76" s="212"/>
      <c r="E76" s="212"/>
      <c r="F76" s="212"/>
      <c r="G76" s="213"/>
      <c r="H76" s="10">
        <f>SUM(H77:H82)</f>
        <v>53866.36</v>
      </c>
      <c r="I76" s="43">
        <f>ROUNDDOWN(H76/$H$186,4)</f>
        <v>9.7000000000000003E-2</v>
      </c>
      <c r="J76" s="181"/>
      <c r="K76" s="73"/>
      <c r="L76" s="69"/>
    </row>
    <row r="77" spans="1:12" ht="24">
      <c r="A77" s="6" t="s">
        <v>820</v>
      </c>
      <c r="B77" s="14" t="s">
        <v>69</v>
      </c>
      <c r="C77" s="13" t="s">
        <v>68</v>
      </c>
      <c r="D77" s="33">
        <f>D78+D80+D82</f>
        <v>315.89</v>
      </c>
      <c r="E77" s="14" t="s">
        <v>5</v>
      </c>
      <c r="F77" s="9">
        <v>29.2</v>
      </c>
      <c r="G77" s="9">
        <f t="shared" si="0"/>
        <v>35.623999999999995</v>
      </c>
      <c r="H77" s="9">
        <f>ROUNDUP(D77*F77*(1+$H$8),2)</f>
        <v>11253.27</v>
      </c>
      <c r="I77" s="44">
        <f>ROUNDUP(H77/$H$186,4)</f>
        <v>2.0299999999999999E-2</v>
      </c>
      <c r="J77" s="181"/>
      <c r="K77" s="73"/>
      <c r="L77" s="69"/>
    </row>
    <row r="78" spans="1:12" ht="48">
      <c r="A78" s="6" t="s">
        <v>821</v>
      </c>
      <c r="B78" s="6" t="s">
        <v>252</v>
      </c>
      <c r="C78" s="7" t="s">
        <v>254</v>
      </c>
      <c r="D78" s="33">
        <f>(70.66)+(51.97)+(6.05)+(4.25*1.6)</f>
        <v>135.48000000000002</v>
      </c>
      <c r="E78" s="14" t="s">
        <v>5</v>
      </c>
      <c r="F78" s="9">
        <v>131.46</v>
      </c>
      <c r="G78" s="9">
        <f t="shared" si="0"/>
        <v>160.38120000000001</v>
      </c>
      <c r="H78" s="9">
        <f t="shared" ref="H78:H79" si="10">ROUNDDOWN(D78*F78*(1+$H$8),2)</f>
        <v>21728.44</v>
      </c>
      <c r="I78" s="44">
        <f>ROUNDDOWN(H78/$H$186,4)</f>
        <v>3.9100000000000003E-2</v>
      </c>
      <c r="J78" s="181"/>
      <c r="K78" s="73"/>
      <c r="L78" s="69"/>
    </row>
    <row r="79" spans="1:12" ht="48">
      <c r="A79" s="6" t="s">
        <v>770</v>
      </c>
      <c r="B79" s="6" t="s">
        <v>253</v>
      </c>
      <c r="C79" s="7" t="s">
        <v>255</v>
      </c>
      <c r="D79" s="33">
        <f>(40.46-3*0.8-1.7-1.25)+(5.21+3.02+15.62-3+3.65-1.5)+(4.25*2)+(1.5)</f>
        <v>68.11</v>
      </c>
      <c r="E79" s="6" t="s">
        <v>7</v>
      </c>
      <c r="F79" s="9">
        <v>26.8</v>
      </c>
      <c r="G79" s="9">
        <f t="shared" si="0"/>
        <v>32.695999999999998</v>
      </c>
      <c r="H79" s="9">
        <f t="shared" si="10"/>
        <v>2226.92</v>
      </c>
      <c r="I79" s="44">
        <f>ROUNDDOWN(H79/$H$186,4)</f>
        <v>4.0000000000000001E-3</v>
      </c>
      <c r="J79" s="181"/>
      <c r="K79" s="73"/>
      <c r="L79" s="69"/>
    </row>
    <row r="80" spans="1:12" ht="48">
      <c r="A80" s="6" t="s">
        <v>822</v>
      </c>
      <c r="B80" s="14" t="s">
        <v>40</v>
      </c>
      <c r="C80" s="7" t="s">
        <v>48</v>
      </c>
      <c r="D80" s="33">
        <f>(29.5)+(18.2)+(24.33)+(7.45)+(11.66)</f>
        <v>91.14</v>
      </c>
      <c r="E80" s="14" t="s">
        <v>5</v>
      </c>
      <c r="F80" s="9">
        <v>128.1</v>
      </c>
      <c r="G80" s="9">
        <f t="shared" ref="G80:G138" si="11">F80*(1+$H$8)</f>
        <v>156.28199999999998</v>
      </c>
      <c r="H80" s="9">
        <f>ROUNDDOWN(D80*F80*(1+$H$8),2)</f>
        <v>14243.54</v>
      </c>
      <c r="I80" s="44">
        <f>ROUNDUP(H80/$H$186,4)</f>
        <v>2.5700000000000001E-2</v>
      </c>
      <c r="J80" s="181"/>
      <c r="K80" s="73"/>
      <c r="L80" s="69"/>
    </row>
    <row r="81" spans="1:12" ht="48">
      <c r="A81" s="6" t="s">
        <v>768</v>
      </c>
      <c r="B81" s="14" t="s">
        <v>62</v>
      </c>
      <c r="C81" s="13" t="s">
        <v>63</v>
      </c>
      <c r="D81" s="33">
        <f>(21.87-2*0.8)+(17.76-0.8)</f>
        <v>37.230000000000004</v>
      </c>
      <c r="E81" s="14" t="s">
        <v>7</v>
      </c>
      <c r="F81" s="9">
        <v>26.21</v>
      </c>
      <c r="G81" s="9">
        <f t="shared" si="11"/>
        <v>31.976199999999999</v>
      </c>
      <c r="H81" s="9">
        <f>ROUNDDOWN(D81*F81*(1+$H$8),2)</f>
        <v>1190.47</v>
      </c>
      <c r="I81" s="44">
        <f>ROUNDDOWN(H81/$H$186,4)</f>
        <v>2.0999999999999999E-3</v>
      </c>
      <c r="J81" s="181"/>
      <c r="K81" s="73"/>
      <c r="L81" s="69"/>
    </row>
    <row r="82" spans="1:12">
      <c r="A82" s="6" t="s">
        <v>823</v>
      </c>
      <c r="B82" s="6" t="s">
        <v>476</v>
      </c>
      <c r="C82" s="7" t="s">
        <v>477</v>
      </c>
      <c r="D82" s="8">
        <f>19.11+57.18+12.98</f>
        <v>89.27</v>
      </c>
      <c r="E82" s="6" t="s">
        <v>5</v>
      </c>
      <c r="F82" s="9">
        <v>29.6</v>
      </c>
      <c r="G82" s="9">
        <f t="shared" si="11"/>
        <v>36.112000000000002</v>
      </c>
      <c r="H82" s="9">
        <f>ROUNDUP(D82*F82*(1+$H$8),2)</f>
        <v>3223.7200000000003</v>
      </c>
      <c r="I82" s="44">
        <f>ROUNDDOWN(H82/$H$186,4)</f>
        <v>5.7999999999999996E-3</v>
      </c>
      <c r="J82" s="181"/>
      <c r="K82" s="73"/>
      <c r="L82" s="69"/>
    </row>
    <row r="83" spans="1:12">
      <c r="A83" s="4">
        <v>10</v>
      </c>
      <c r="B83" s="214" t="s">
        <v>49</v>
      </c>
      <c r="C83" s="212"/>
      <c r="D83" s="212"/>
      <c r="E83" s="212"/>
      <c r="F83" s="212"/>
      <c r="G83" s="213"/>
      <c r="H83" s="10">
        <f>SUM(H84:H87)</f>
        <v>40487.230000000003</v>
      </c>
      <c r="I83" s="43">
        <f>ROUNDDOWN(H83/$H$186,4)</f>
        <v>7.2900000000000006E-2</v>
      </c>
      <c r="J83" s="181"/>
      <c r="K83" s="73"/>
      <c r="L83" s="69"/>
    </row>
    <row r="84" spans="1:12">
      <c r="A84" s="6" t="s">
        <v>824</v>
      </c>
      <c r="B84" s="14" t="s">
        <v>81</v>
      </c>
      <c r="C84" s="13" t="s">
        <v>82</v>
      </c>
      <c r="D84" s="8">
        <f>(D49)*2+(29.52+18.2+24.33)+D15</f>
        <v>584.34900000000016</v>
      </c>
      <c r="E84" s="14" t="s">
        <v>5</v>
      </c>
      <c r="F84" s="9">
        <v>6.21</v>
      </c>
      <c r="G84" s="9">
        <f t="shared" si="11"/>
        <v>7.5762</v>
      </c>
      <c r="H84" s="9">
        <f>ROUNDDOWN(D84*F84*(1+$H$8),2)</f>
        <v>4427.1400000000003</v>
      </c>
      <c r="I84" s="44">
        <f>ROUNDUP(H84/$H$186,4)</f>
        <v>8.0000000000000002E-3</v>
      </c>
      <c r="J84" s="181"/>
      <c r="K84" s="73"/>
      <c r="L84" s="69"/>
    </row>
    <row r="85" spans="1:12">
      <c r="A85" s="6" t="s">
        <v>825</v>
      </c>
      <c r="B85" s="14" t="s">
        <v>66</v>
      </c>
      <c r="C85" s="13" t="s">
        <v>64</v>
      </c>
      <c r="D85" s="8">
        <f>D84</f>
        <v>584.34900000000016</v>
      </c>
      <c r="E85" s="14" t="s">
        <v>5</v>
      </c>
      <c r="F85" s="9">
        <v>20.34</v>
      </c>
      <c r="G85" s="9">
        <f t="shared" si="11"/>
        <v>24.814799999999998</v>
      </c>
      <c r="H85" s="9">
        <f>ROUNDDOWN(D85*F85*(1+$H$8),2)</f>
        <v>14500.5</v>
      </c>
      <c r="I85" s="44">
        <f t="shared" ref="I85:I89" si="12">ROUNDDOWN(H85/$H$186,4)</f>
        <v>2.6100000000000002E-2</v>
      </c>
      <c r="J85" s="181"/>
      <c r="K85" s="73"/>
      <c r="L85" s="69"/>
    </row>
    <row r="86" spans="1:12">
      <c r="A86" s="6" t="s">
        <v>826</v>
      </c>
      <c r="B86" s="14" t="s">
        <v>67</v>
      </c>
      <c r="C86" s="13" t="s">
        <v>65</v>
      </c>
      <c r="D86" s="8">
        <f>D85-(21.74*2.8-2*2*1-0.8*2.1)</f>
        <v>529.15700000000015</v>
      </c>
      <c r="E86" s="14" t="s">
        <v>5</v>
      </c>
      <c r="F86" s="9">
        <v>11.41</v>
      </c>
      <c r="G86" s="9">
        <f t="shared" si="11"/>
        <v>13.920199999999999</v>
      </c>
      <c r="H86" s="9">
        <f>ROUNDDOWN(D86*F86*(1+$H$8),2)</f>
        <v>7365.97</v>
      </c>
      <c r="I86" s="44">
        <f>ROUNDUP(H86/$H$186,4)</f>
        <v>1.3299999999999999E-2</v>
      </c>
      <c r="J86" s="181"/>
      <c r="K86" s="73"/>
      <c r="L86" s="69"/>
    </row>
    <row r="87" spans="1:12" ht="36">
      <c r="A87" s="6" t="s">
        <v>827</v>
      </c>
      <c r="B87" s="31" t="s">
        <v>277</v>
      </c>
      <c r="C87" s="32" t="s">
        <v>278</v>
      </c>
      <c r="D87" s="33">
        <f>(21.74*2.8-2*2*1-0.8*2.1)+(11.07*3-2*1.12*0.52-0.8*2.1)+(14.5*3-0.8*2.1-1.2*1.2)+(20)</f>
        <v>145.93719999999999</v>
      </c>
      <c r="E87" s="31" t="s">
        <v>5</v>
      </c>
      <c r="F87" s="34">
        <v>79.72</v>
      </c>
      <c r="G87" s="9">
        <f t="shared" si="11"/>
        <v>97.258399999999995</v>
      </c>
      <c r="H87" s="9">
        <f>ROUNDUP(D87*F87*(1+$H$8),2)</f>
        <v>14193.62</v>
      </c>
      <c r="I87" s="44">
        <f t="shared" si="12"/>
        <v>2.5499999999999998E-2</v>
      </c>
      <c r="J87" s="181"/>
      <c r="K87" s="73"/>
      <c r="L87" s="69"/>
    </row>
    <row r="88" spans="1:12">
      <c r="A88" s="4">
        <v>11</v>
      </c>
      <c r="B88" s="214" t="s">
        <v>43</v>
      </c>
      <c r="C88" s="212"/>
      <c r="D88" s="212"/>
      <c r="E88" s="212"/>
      <c r="F88" s="212"/>
      <c r="G88" s="213"/>
      <c r="H88" s="10">
        <f>SUM(H89:H89)</f>
        <v>1578.08</v>
      </c>
      <c r="I88" s="43">
        <f>ROUNDDOWN(H88/$H$186,4)</f>
        <v>2.8E-3</v>
      </c>
      <c r="J88" s="181"/>
      <c r="K88" s="73"/>
      <c r="L88" s="69"/>
    </row>
    <row r="89" spans="1:12" ht="24">
      <c r="A89" s="6" t="s">
        <v>829</v>
      </c>
      <c r="B89" s="14" t="s">
        <v>45</v>
      </c>
      <c r="C89" s="13" t="s">
        <v>44</v>
      </c>
      <c r="D89" s="33">
        <f>FUNDAÇÃO!C12+FUNDAÇÃO!C24+(13.85*2.2/2)+(17.55*1.5)</f>
        <v>71.150000000000006</v>
      </c>
      <c r="E89" s="14" t="s">
        <v>5</v>
      </c>
      <c r="F89" s="9">
        <v>18.18</v>
      </c>
      <c r="G89" s="9">
        <f t="shared" si="11"/>
        <v>22.179600000000001</v>
      </c>
      <c r="H89" s="9">
        <f>ROUNDUP(D89*F89*(1+$H$8),2)</f>
        <v>1578.08</v>
      </c>
      <c r="I89" s="44">
        <f t="shared" si="12"/>
        <v>2.8E-3</v>
      </c>
      <c r="J89" s="181"/>
      <c r="K89" s="73"/>
      <c r="L89" s="69"/>
    </row>
    <row r="90" spans="1:12">
      <c r="A90" s="4">
        <v>12</v>
      </c>
      <c r="B90" s="214" t="s">
        <v>71</v>
      </c>
      <c r="C90" s="212"/>
      <c r="D90" s="212"/>
      <c r="E90" s="212"/>
      <c r="F90" s="212"/>
      <c r="G90" s="213"/>
      <c r="H90" s="10">
        <f>SUM(H91:H105)</f>
        <v>104131.38000000003</v>
      </c>
      <c r="I90" s="43">
        <f>ROUNDUP(H90/$H$186,4)</f>
        <v>0.18759999999999999</v>
      </c>
      <c r="J90" s="181"/>
      <c r="K90" s="73"/>
      <c r="L90" s="69"/>
    </row>
    <row r="91" spans="1:12" ht="24">
      <c r="A91" s="6" t="s">
        <v>830</v>
      </c>
      <c r="B91" s="31" t="s">
        <v>380</v>
      </c>
      <c r="C91" s="32" t="s">
        <v>381</v>
      </c>
      <c r="D91" s="33">
        <f>(1.7*2.25)</f>
        <v>3.8249999999999997</v>
      </c>
      <c r="E91" s="31" t="s">
        <v>5</v>
      </c>
      <c r="F91" s="34">
        <v>152.28</v>
      </c>
      <c r="G91" s="9">
        <f t="shared" si="11"/>
        <v>185.7816</v>
      </c>
      <c r="H91" s="34">
        <f>ROUNDDOWN(D91*F91*(1+$H$8),2)</f>
        <v>710.61</v>
      </c>
      <c r="I91" s="44">
        <f>ROUNDUP(H91/$H$186,4)</f>
        <v>1.2999999999999999E-3</v>
      </c>
      <c r="J91" s="181"/>
      <c r="K91" s="73"/>
      <c r="L91" s="69"/>
    </row>
    <row r="92" spans="1:12" ht="36">
      <c r="A92" s="6" t="s">
        <v>832</v>
      </c>
      <c r="B92" s="31" t="s">
        <v>243</v>
      </c>
      <c r="C92" s="32" t="s">
        <v>244</v>
      </c>
      <c r="D92" s="33">
        <v>56</v>
      </c>
      <c r="E92" s="31" t="s">
        <v>5</v>
      </c>
      <c r="F92" s="34">
        <v>199.24</v>
      </c>
      <c r="G92" s="9">
        <f t="shared" si="11"/>
        <v>243.0728</v>
      </c>
      <c r="H92" s="9">
        <f>ROUNDUP(D92*F92*(1+$H$8),2)</f>
        <v>13612.08</v>
      </c>
      <c r="I92" s="44">
        <f t="shared" ref="I92:I105" si="13">ROUNDDOWN(H92/$H$186,4)</f>
        <v>2.4500000000000001E-2</v>
      </c>
      <c r="J92" s="181"/>
      <c r="K92" s="73"/>
      <c r="L92" s="69"/>
    </row>
    <row r="93" spans="1:12">
      <c r="A93" s="6" t="s">
        <v>833</v>
      </c>
      <c r="B93" s="31" t="s">
        <v>1046</v>
      </c>
      <c r="C93" s="32" t="s">
        <v>1047</v>
      </c>
      <c r="D93" s="33">
        <f>ROUNDUP(D27,0)</f>
        <v>66</v>
      </c>
      <c r="E93" s="31" t="s">
        <v>5</v>
      </c>
      <c r="F93" s="34">
        <f>74.65/1.23</f>
        <v>60.69105691056911</v>
      </c>
      <c r="G93" s="9">
        <f>ROUNDDOWN(F93*(1+$H$8),2)</f>
        <v>74.040000000000006</v>
      </c>
      <c r="H93" s="34">
        <f>ROUNDDOWN(D93*F93*(1+$H$8),2)</f>
        <v>4886.84</v>
      </c>
      <c r="I93" s="44">
        <f t="shared" si="13"/>
        <v>8.8000000000000005E-3</v>
      </c>
      <c r="J93" s="181"/>
      <c r="K93" s="73"/>
      <c r="L93" s="69"/>
    </row>
    <row r="94" spans="1:12" ht="24">
      <c r="A94" s="6" t="s">
        <v>834</v>
      </c>
      <c r="B94" s="6" t="s">
        <v>378</v>
      </c>
      <c r="C94" s="7" t="s">
        <v>379</v>
      </c>
      <c r="D94" s="8">
        <f>ROUNDUP((25*1)+(D91*8)+(D92*9),0)</f>
        <v>560</v>
      </c>
      <c r="E94" s="6" t="s">
        <v>19</v>
      </c>
      <c r="F94" s="9">
        <v>25.9</v>
      </c>
      <c r="G94" s="9">
        <f t="shared" si="11"/>
        <v>31.597999999999999</v>
      </c>
      <c r="H94" s="34">
        <f>ROUNDDOWN(D94*F94*(1+$H$8),2)</f>
        <v>17694.88</v>
      </c>
      <c r="I94" s="44">
        <f>ROUNDUP(H94/$H$186,4)</f>
        <v>3.1900000000000005E-2</v>
      </c>
      <c r="J94" s="181"/>
      <c r="K94" s="73"/>
      <c r="L94" s="69"/>
    </row>
    <row r="95" spans="1:12" ht="48">
      <c r="A95" s="6" t="s">
        <v>835</v>
      </c>
      <c r="B95" s="6" t="s">
        <v>519</v>
      </c>
      <c r="C95" s="7" t="s">
        <v>522</v>
      </c>
      <c r="D95" s="8">
        <v>2</v>
      </c>
      <c r="E95" s="6" t="s">
        <v>29</v>
      </c>
      <c r="F95" s="9">
        <v>525.03</v>
      </c>
      <c r="G95" s="9">
        <f t="shared" si="11"/>
        <v>640.53659999999991</v>
      </c>
      <c r="H95" s="34">
        <f t="shared" ref="H95:H96" si="14">ROUNDDOWN(D95*F95*(1+$H$8),2)</f>
        <v>1281.07</v>
      </c>
      <c r="I95" s="44">
        <f t="shared" si="13"/>
        <v>2.3E-3</v>
      </c>
      <c r="J95" s="181"/>
      <c r="K95" s="73"/>
      <c r="L95" s="69"/>
    </row>
    <row r="96" spans="1:12" ht="24">
      <c r="A96" s="6" t="s">
        <v>836</v>
      </c>
      <c r="B96" s="6" t="s">
        <v>520</v>
      </c>
      <c r="C96" s="32" t="s">
        <v>521</v>
      </c>
      <c r="D96" s="8">
        <v>60.69</v>
      </c>
      <c r="E96" s="6" t="s">
        <v>5</v>
      </c>
      <c r="F96" s="9">
        <v>29.21</v>
      </c>
      <c r="G96" s="9">
        <f t="shared" si="11"/>
        <v>35.636200000000002</v>
      </c>
      <c r="H96" s="34">
        <f t="shared" si="14"/>
        <v>2162.7600000000002</v>
      </c>
      <c r="I96" s="44">
        <f>ROUNDUP(H96/$H$186,4)</f>
        <v>3.8999999999999998E-3</v>
      </c>
      <c r="J96" s="181"/>
      <c r="K96" s="73"/>
      <c r="L96" s="69"/>
    </row>
    <row r="97" spans="1:13" ht="24">
      <c r="A97" s="6" t="s">
        <v>837</v>
      </c>
      <c r="B97" s="6" t="s">
        <v>376</v>
      </c>
      <c r="C97" s="32" t="s">
        <v>377</v>
      </c>
      <c r="D97" s="8">
        <f>(16)+(4*1.5)</f>
        <v>22</v>
      </c>
      <c r="E97" s="6" t="s">
        <v>5</v>
      </c>
      <c r="F97" s="9">
        <v>214.38</v>
      </c>
      <c r="G97" s="9">
        <f t="shared" si="11"/>
        <v>261.54359999999997</v>
      </c>
      <c r="H97" s="9">
        <f>ROUNDUP(D97*F97*(1+$H$8),2)</f>
        <v>5753.96</v>
      </c>
      <c r="I97" s="44">
        <f>ROUNDUP(H97/$H$186,4)</f>
        <v>1.04E-2</v>
      </c>
      <c r="J97" s="181"/>
      <c r="K97" s="73"/>
      <c r="L97" s="69"/>
    </row>
    <row r="98" spans="1:13" ht="24">
      <c r="A98" s="6" t="s">
        <v>838</v>
      </c>
      <c r="B98" s="6" t="s">
        <v>371</v>
      </c>
      <c r="C98" s="32" t="s">
        <v>372</v>
      </c>
      <c r="D98" s="8">
        <v>60</v>
      </c>
      <c r="E98" s="6" t="s">
        <v>5</v>
      </c>
      <c r="F98" s="9">
        <v>295.26</v>
      </c>
      <c r="G98" s="9">
        <f t="shared" si="11"/>
        <v>360.21719999999999</v>
      </c>
      <c r="H98" s="34">
        <f>ROUNDDOWN(D98*F98*(1+$H$8),2)</f>
        <v>21613.03</v>
      </c>
      <c r="I98" s="44">
        <f t="shared" si="13"/>
        <v>3.8899999999999997E-2</v>
      </c>
      <c r="J98" s="181"/>
      <c r="K98" s="73"/>
      <c r="L98" s="69"/>
    </row>
    <row r="99" spans="1:13" ht="24">
      <c r="A99" s="6" t="s">
        <v>839</v>
      </c>
      <c r="B99" s="6" t="s">
        <v>147</v>
      </c>
      <c r="C99" s="32" t="s">
        <v>148</v>
      </c>
      <c r="D99" s="33">
        <f>(21.07*2)+(1.7+2.4)*2+(56.56-1.5-0.8)</f>
        <v>104.60000000000001</v>
      </c>
      <c r="E99" s="6" t="s">
        <v>7</v>
      </c>
      <c r="F99" s="9">
        <v>50.89</v>
      </c>
      <c r="G99" s="9">
        <f t="shared" si="11"/>
        <v>62.085799999999999</v>
      </c>
      <c r="H99" s="34">
        <f>ROUNDDOWN(D99*F99*(1+$H$8),2)</f>
        <v>6494.17</v>
      </c>
      <c r="I99" s="44">
        <f>ROUNDUP(H99/$H$186,4)</f>
        <v>1.1699999999999999E-2</v>
      </c>
      <c r="J99" s="181"/>
      <c r="K99" s="73"/>
      <c r="L99" s="69"/>
    </row>
    <row r="100" spans="1:13" ht="24">
      <c r="A100" s="6" t="s">
        <v>840</v>
      </c>
      <c r="B100" s="14" t="s">
        <v>75</v>
      </c>
      <c r="C100" s="13" t="s">
        <v>74</v>
      </c>
      <c r="D100" s="23">
        <f>14.58+47.13+55.53</f>
        <v>117.24000000000001</v>
      </c>
      <c r="E100" s="14" t="s">
        <v>7</v>
      </c>
      <c r="F100" s="9">
        <v>100.06</v>
      </c>
      <c r="G100" s="9">
        <f t="shared" si="11"/>
        <v>122.0732</v>
      </c>
      <c r="H100" s="34">
        <f>ROUNDDOWN(D100*F100*(1+$H$8),2)</f>
        <v>14311.86</v>
      </c>
      <c r="I100" s="44">
        <f>ROUNDUP(H100/$H$186,4)</f>
        <v>2.58E-2</v>
      </c>
      <c r="J100" s="181"/>
      <c r="K100" s="73"/>
      <c r="L100" s="69"/>
    </row>
    <row r="101" spans="1:13" ht="36">
      <c r="A101" s="6" t="s">
        <v>841</v>
      </c>
      <c r="B101" s="14" t="s">
        <v>73</v>
      </c>
      <c r="C101" s="13" t="s">
        <v>72</v>
      </c>
      <c r="D101" s="8">
        <f>15*5</f>
        <v>75</v>
      </c>
      <c r="E101" s="14" t="s">
        <v>7</v>
      </c>
      <c r="F101" s="9">
        <v>36.11</v>
      </c>
      <c r="G101" s="9">
        <f t="shared" si="11"/>
        <v>44.054200000000002</v>
      </c>
      <c r="H101" s="9">
        <f>ROUNDUP(D101*F101*(1+$H$8),2)</f>
        <v>3304.07</v>
      </c>
      <c r="I101" s="44">
        <f t="shared" si="13"/>
        <v>5.8999999999999999E-3</v>
      </c>
      <c r="J101" s="181"/>
      <c r="K101" s="73"/>
      <c r="L101" s="69"/>
    </row>
    <row r="102" spans="1:13" ht="24">
      <c r="A102" s="6" t="s">
        <v>842</v>
      </c>
      <c r="B102" s="31" t="s">
        <v>76</v>
      </c>
      <c r="C102" s="32" t="s">
        <v>77</v>
      </c>
      <c r="D102" s="33">
        <f>4*3+20</f>
        <v>32</v>
      </c>
      <c r="E102" s="31" t="s">
        <v>7</v>
      </c>
      <c r="F102" s="34">
        <v>53.48</v>
      </c>
      <c r="G102" s="9">
        <f t="shared" si="11"/>
        <v>65.245599999999996</v>
      </c>
      <c r="H102" s="9">
        <f>ROUNDUP(D102*F102*(1+$H$8),2)</f>
        <v>2087.86</v>
      </c>
      <c r="I102" s="44">
        <f>ROUNDUP(H102/$H$186,4)</f>
        <v>3.8E-3</v>
      </c>
      <c r="J102" s="181"/>
      <c r="K102" s="73"/>
      <c r="L102" s="69"/>
    </row>
    <row r="103" spans="1:13">
      <c r="A103" s="6" t="s">
        <v>843</v>
      </c>
      <c r="B103" s="6" t="s">
        <v>240</v>
      </c>
      <c r="C103" s="7" t="s">
        <v>241</v>
      </c>
      <c r="D103" s="33">
        <v>1</v>
      </c>
      <c r="E103" s="14" t="s">
        <v>29</v>
      </c>
      <c r="F103" s="34">
        <f>733.12/1.23</f>
        <v>596.03252032520322</v>
      </c>
      <c r="G103" s="9">
        <f>ROUNDUP(F103*(1+$H$8),2)</f>
        <v>727.16</v>
      </c>
      <c r="H103" s="9">
        <f>ROUNDUP(D103*F103*(1+$H$8),2)</f>
        <v>727.16</v>
      </c>
      <c r="I103" s="44">
        <f t="shared" si="13"/>
        <v>1.2999999999999999E-3</v>
      </c>
      <c r="J103" s="181"/>
      <c r="K103" s="73"/>
      <c r="L103" s="69"/>
    </row>
    <row r="104" spans="1:13">
      <c r="A104" s="6" t="s">
        <v>844</v>
      </c>
      <c r="B104" s="6" t="s">
        <v>245</v>
      </c>
      <c r="C104" s="7" t="s">
        <v>246</v>
      </c>
      <c r="D104" s="33">
        <f>2.1+(2*2+1.25+3.5*3+3)</f>
        <v>20.85</v>
      </c>
      <c r="E104" s="6" t="s">
        <v>7</v>
      </c>
      <c r="F104" s="34">
        <f>189.64/1.23</f>
        <v>154.17886178861787</v>
      </c>
      <c r="G104" s="9">
        <f>ROUNDUP(F104*(1+$H$8),2)</f>
        <v>188.1</v>
      </c>
      <c r="H104" s="9">
        <f>ROUNDUP(D104*F104*(1+$H$8),2)</f>
        <v>3921.8500000000004</v>
      </c>
      <c r="I104" s="44">
        <f>ROUNDUP(H104/$H$186,4)</f>
        <v>7.1000000000000004E-3</v>
      </c>
      <c r="J104" s="181"/>
      <c r="K104" s="73"/>
      <c r="L104" s="69"/>
    </row>
    <row r="105" spans="1:13">
      <c r="A105" s="6" t="s">
        <v>845</v>
      </c>
      <c r="B105" s="6" t="s">
        <v>431</v>
      </c>
      <c r="C105" s="7" t="s">
        <v>658</v>
      </c>
      <c r="D105" s="33">
        <f>0.2*2.1+(2*2+1.25+3.5*3+3)*0.2</f>
        <v>4.17</v>
      </c>
      <c r="E105" s="6" t="s">
        <v>5</v>
      </c>
      <c r="F105" s="9">
        <v>1094.7</v>
      </c>
      <c r="G105" s="9">
        <f t="shared" si="11"/>
        <v>1335.5340000000001</v>
      </c>
      <c r="H105" s="9">
        <f>ROUNDUP(D105*F105*(1+$H$8),2)</f>
        <v>5569.18</v>
      </c>
      <c r="I105" s="44">
        <f t="shared" si="13"/>
        <v>0.01</v>
      </c>
      <c r="J105" s="181"/>
      <c r="K105" s="73"/>
      <c r="L105" s="69"/>
    </row>
    <row r="106" spans="1:13">
      <c r="A106" s="4">
        <v>13</v>
      </c>
      <c r="B106" s="211" t="s">
        <v>131</v>
      </c>
      <c r="C106" s="212"/>
      <c r="D106" s="212"/>
      <c r="E106" s="212"/>
      <c r="F106" s="212"/>
      <c r="G106" s="213"/>
      <c r="H106" s="10">
        <f>SUM(H107:H107)</f>
        <v>5189.55</v>
      </c>
      <c r="I106" s="43">
        <f>ROUNDUP(H106/$H$186,4)</f>
        <v>9.3999999999999986E-3</v>
      </c>
      <c r="J106" s="181"/>
      <c r="K106" s="73"/>
      <c r="L106" s="69"/>
    </row>
    <row r="107" spans="1:13">
      <c r="A107" s="31" t="s">
        <v>831</v>
      </c>
      <c r="B107" s="31" t="s">
        <v>373</v>
      </c>
      <c r="C107" s="32" t="s">
        <v>370</v>
      </c>
      <c r="D107" s="33">
        <f>18.2+24.33+((1.6*2.2+1.6*0.7+2.6*0.5))</f>
        <v>48.47</v>
      </c>
      <c r="E107" s="31" t="s">
        <v>5</v>
      </c>
      <c r="F107" s="34">
        <v>87.76</v>
      </c>
      <c r="G107" s="9">
        <f t="shared" si="11"/>
        <v>107.0672</v>
      </c>
      <c r="H107" s="34">
        <f>ROUNDUP(D107*F107*(1+$H$8),2)</f>
        <v>5189.55</v>
      </c>
      <c r="I107" s="44">
        <f>ROUNDUP(H107/$H$186,4)</f>
        <v>9.3999999999999986E-3</v>
      </c>
      <c r="J107" s="181"/>
      <c r="K107" s="73"/>
      <c r="L107" s="69"/>
    </row>
    <row r="108" spans="1:13">
      <c r="A108" s="4">
        <v>14</v>
      </c>
      <c r="B108" s="211" t="s">
        <v>38</v>
      </c>
      <c r="C108" s="212"/>
      <c r="D108" s="212"/>
      <c r="E108" s="212"/>
      <c r="F108" s="212"/>
      <c r="G108" s="213"/>
      <c r="H108" s="10">
        <f>SUM(H109:H138)</f>
        <v>40898.389999999985</v>
      </c>
      <c r="I108" s="43">
        <f>ROUNDUP(H108/$H$186,4)</f>
        <v>7.3700000000000002E-2</v>
      </c>
      <c r="J108" s="181"/>
      <c r="K108" s="73"/>
      <c r="L108" s="80"/>
      <c r="M108" s="45"/>
    </row>
    <row r="109" spans="1:13" ht="24">
      <c r="A109" s="6" t="s">
        <v>868</v>
      </c>
      <c r="B109" s="6" t="s">
        <v>144</v>
      </c>
      <c r="C109" s="7" t="s">
        <v>525</v>
      </c>
      <c r="D109" s="8">
        <v>5</v>
      </c>
      <c r="E109" s="6" t="s">
        <v>29</v>
      </c>
      <c r="F109" s="9">
        <v>289.89999999999998</v>
      </c>
      <c r="G109" s="9">
        <f t="shared" si="11"/>
        <v>353.67799999999994</v>
      </c>
      <c r="H109" s="34">
        <f>ROUNDDOWN(D109*F109*(1+$H$8),2)</f>
        <v>1768.39</v>
      </c>
      <c r="I109" s="44">
        <f>ROUNDUP(H109/$H$186,4)</f>
        <v>3.1999999999999997E-3</v>
      </c>
      <c r="J109" s="181"/>
      <c r="K109" s="73"/>
      <c r="L109" s="80"/>
      <c r="M109" s="45"/>
    </row>
    <row r="110" spans="1:13">
      <c r="A110" s="6" t="s">
        <v>869</v>
      </c>
      <c r="B110" s="6" t="s">
        <v>474</v>
      </c>
      <c r="C110" s="7" t="s">
        <v>475</v>
      </c>
      <c r="D110" s="8">
        <v>4</v>
      </c>
      <c r="E110" s="6" t="s">
        <v>29</v>
      </c>
      <c r="F110" s="34">
        <f>802.36/1.23</f>
        <v>652.32520325203257</v>
      </c>
      <c r="G110" s="9">
        <f>ROUNDUP(F110*(1+$H$8),2)</f>
        <v>795.84</v>
      </c>
      <c r="H110" s="9">
        <f>ROUNDUP(D110*F110*(1+$H$8),2)</f>
        <v>3183.3500000000004</v>
      </c>
      <c r="I110" s="44">
        <f t="shared" ref="I110:I175" si="15">ROUNDDOWN(H110/$H$186,4)</f>
        <v>5.7000000000000002E-3</v>
      </c>
      <c r="J110" s="181"/>
      <c r="K110" s="73"/>
      <c r="L110" s="80"/>
      <c r="M110" s="45"/>
    </row>
    <row r="111" spans="1:13">
      <c r="A111" s="6" t="s">
        <v>870</v>
      </c>
      <c r="B111" s="14" t="s">
        <v>84</v>
      </c>
      <c r="C111" s="13" t="s">
        <v>85</v>
      </c>
      <c r="D111" s="8">
        <f>D109</f>
        <v>5</v>
      </c>
      <c r="E111" s="14" t="s">
        <v>29</v>
      </c>
      <c r="F111" s="9">
        <v>43.65</v>
      </c>
      <c r="G111" s="9">
        <f t="shared" si="11"/>
        <v>53.253</v>
      </c>
      <c r="H111" s="34">
        <f>ROUNDUP(D111*F111*(1+$H$8),2)</f>
        <v>266.27</v>
      </c>
      <c r="I111" s="44">
        <f t="shared" ref="I111:I116" si="16">ROUNDUP(H111/$H$186,4)</f>
        <v>5.0000000000000001E-4</v>
      </c>
      <c r="J111" s="181"/>
      <c r="K111" s="73"/>
      <c r="L111" s="80"/>
      <c r="M111" s="45"/>
    </row>
    <row r="112" spans="1:13">
      <c r="A112" s="6" t="s">
        <v>871</v>
      </c>
      <c r="B112" s="14" t="s">
        <v>55</v>
      </c>
      <c r="C112" s="13" t="s">
        <v>56</v>
      </c>
      <c r="D112" s="8">
        <f>D111</f>
        <v>5</v>
      </c>
      <c r="E112" s="14" t="s">
        <v>29</v>
      </c>
      <c r="F112" s="9">
        <v>41.18</v>
      </c>
      <c r="G112" s="9">
        <f t="shared" si="11"/>
        <v>50.239599999999996</v>
      </c>
      <c r="H112" s="9">
        <f>ROUNDUP(D112*F112*(1+$H$8),2)</f>
        <v>251.2</v>
      </c>
      <c r="I112" s="44">
        <f t="shared" si="16"/>
        <v>5.0000000000000001E-4</v>
      </c>
      <c r="J112" s="181"/>
      <c r="K112" s="73"/>
      <c r="L112" s="80"/>
      <c r="M112" s="45"/>
    </row>
    <row r="113" spans="1:13">
      <c r="A113" s="6" t="s">
        <v>872</v>
      </c>
      <c r="B113" s="6" t="s">
        <v>83</v>
      </c>
      <c r="C113" s="7" t="s">
        <v>526</v>
      </c>
      <c r="D113" s="8">
        <f>D109</f>
        <v>5</v>
      </c>
      <c r="E113" s="6" t="s">
        <v>29</v>
      </c>
      <c r="F113" s="9">
        <v>325.98</v>
      </c>
      <c r="G113" s="9">
        <f t="shared" si="11"/>
        <v>397.69560000000001</v>
      </c>
      <c r="H113" s="9">
        <f>ROUNDUP(D113*F113*(1+$H$8),2)</f>
        <v>1988.48</v>
      </c>
      <c r="I113" s="44">
        <f t="shared" si="16"/>
        <v>3.5999999999999999E-3</v>
      </c>
      <c r="J113" s="181"/>
      <c r="K113" s="73"/>
      <c r="L113" s="80"/>
      <c r="M113" s="45"/>
    </row>
    <row r="114" spans="1:13">
      <c r="A114" s="6" t="s">
        <v>873</v>
      </c>
      <c r="B114" s="6" t="s">
        <v>736</v>
      </c>
      <c r="C114" s="7" t="s">
        <v>738</v>
      </c>
      <c r="D114" s="8">
        <f>D116+D117</f>
        <v>3</v>
      </c>
      <c r="E114" s="6" t="s">
        <v>29</v>
      </c>
      <c r="F114" s="9">
        <v>7.49</v>
      </c>
      <c r="G114" s="9">
        <f t="shared" si="11"/>
        <v>9.1378000000000004</v>
      </c>
      <c r="H114" s="34">
        <f>ROUNDDOWN(D114*F114*(1+$H$8),2)</f>
        <v>27.41</v>
      </c>
      <c r="I114" s="44">
        <f t="shared" si="16"/>
        <v>1E-4</v>
      </c>
      <c r="J114" s="181"/>
      <c r="K114" s="73"/>
      <c r="L114" s="80"/>
      <c r="M114" s="45"/>
    </row>
    <row r="115" spans="1:13">
      <c r="A115" s="6" t="s">
        <v>874</v>
      </c>
      <c r="B115" s="6" t="s">
        <v>737</v>
      </c>
      <c r="C115" s="7" t="s">
        <v>739</v>
      </c>
      <c r="D115" s="8">
        <f>D119</f>
        <v>4</v>
      </c>
      <c r="E115" s="6" t="s">
        <v>29</v>
      </c>
      <c r="F115" s="9">
        <v>56.77</v>
      </c>
      <c r="G115" s="9">
        <f t="shared" si="11"/>
        <v>69.259399999999999</v>
      </c>
      <c r="H115" s="9">
        <f t="shared" ref="H115" si="17">ROUNDUP(D115*F115*(1+$H$8),2)</f>
        <v>277.03999999999996</v>
      </c>
      <c r="I115" s="44">
        <f t="shared" si="16"/>
        <v>5.0000000000000001E-4</v>
      </c>
      <c r="J115" s="181"/>
      <c r="K115" s="73"/>
      <c r="L115" s="80"/>
      <c r="M115" s="45"/>
    </row>
    <row r="116" spans="1:13">
      <c r="A116" s="6" t="s">
        <v>875</v>
      </c>
      <c r="B116" s="14" t="s">
        <v>50</v>
      </c>
      <c r="C116" s="13" t="s">
        <v>51</v>
      </c>
      <c r="D116" s="8">
        <v>2</v>
      </c>
      <c r="E116" s="14" t="s">
        <v>29</v>
      </c>
      <c r="F116" s="9">
        <v>133.09</v>
      </c>
      <c r="G116" s="9">
        <f t="shared" si="11"/>
        <v>162.3698</v>
      </c>
      <c r="H116" s="9">
        <f t="shared" ref="H116" si="18">ROUNDUP(D116*F116*(1+$H$8),2)</f>
        <v>324.74</v>
      </c>
      <c r="I116" s="44">
        <f t="shared" si="16"/>
        <v>6.0000000000000006E-4</v>
      </c>
      <c r="J116" s="181"/>
      <c r="K116" s="73"/>
      <c r="L116" s="80"/>
      <c r="M116" s="45"/>
    </row>
    <row r="117" spans="1:13">
      <c r="A117" s="6" t="s">
        <v>876</v>
      </c>
      <c r="B117" s="6" t="s">
        <v>722</v>
      </c>
      <c r="C117" s="7" t="s">
        <v>723</v>
      </c>
      <c r="D117" s="8">
        <v>1</v>
      </c>
      <c r="E117" s="6" t="s">
        <v>29</v>
      </c>
      <c r="F117" s="9">
        <v>275.87</v>
      </c>
      <c r="G117" s="9">
        <f t="shared" si="11"/>
        <v>336.56139999999999</v>
      </c>
      <c r="H117" s="34">
        <f>ROUNDDOWN(D117*F117*(1+$H$8),2)</f>
        <v>336.56</v>
      </c>
      <c r="I117" s="44">
        <f t="shared" si="15"/>
        <v>5.9999999999999995E-4</v>
      </c>
      <c r="J117" s="181"/>
      <c r="K117" s="73"/>
      <c r="L117" s="80"/>
      <c r="M117" s="45"/>
    </row>
    <row r="118" spans="1:13">
      <c r="A118" s="6" t="s">
        <v>877</v>
      </c>
      <c r="B118" s="6" t="s">
        <v>725</v>
      </c>
      <c r="C118" s="7" t="s">
        <v>724</v>
      </c>
      <c r="D118" s="8">
        <v>1</v>
      </c>
      <c r="E118" s="6" t="s">
        <v>29</v>
      </c>
      <c r="F118" s="9">
        <v>457.44</v>
      </c>
      <c r="G118" s="9">
        <f t="shared" si="11"/>
        <v>558.07679999999993</v>
      </c>
      <c r="H118" s="9">
        <f t="shared" ref="H118" si="19">ROUNDUP(D118*F118*(1+$H$8),2)</f>
        <v>558.08000000000004</v>
      </c>
      <c r="I118" s="44">
        <f t="shared" si="15"/>
        <v>1E-3</v>
      </c>
      <c r="J118" s="181"/>
      <c r="K118" s="73"/>
      <c r="L118" s="80"/>
      <c r="M118" s="45"/>
    </row>
    <row r="119" spans="1:13">
      <c r="A119" s="6" t="s">
        <v>878</v>
      </c>
      <c r="B119" s="6" t="s">
        <v>282</v>
      </c>
      <c r="C119" s="7" t="s">
        <v>283</v>
      </c>
      <c r="D119" s="33">
        <v>4</v>
      </c>
      <c r="E119" s="6" t="s">
        <v>29</v>
      </c>
      <c r="F119" s="9">
        <v>266.23</v>
      </c>
      <c r="G119" s="9">
        <f t="shared" si="11"/>
        <v>324.80060000000003</v>
      </c>
      <c r="H119" s="34">
        <f>ROUNDDOWN(D119*F119*(1+$H$8),2)</f>
        <v>1299.2</v>
      </c>
      <c r="I119" s="44">
        <f t="shared" si="15"/>
        <v>2.3E-3</v>
      </c>
      <c r="J119" s="181"/>
      <c r="K119" s="73"/>
      <c r="L119" s="80"/>
      <c r="M119" s="45"/>
    </row>
    <row r="120" spans="1:13" ht="24">
      <c r="A120" s="6" t="s">
        <v>879</v>
      </c>
      <c r="B120" s="201" t="s">
        <v>764</v>
      </c>
      <c r="C120" s="7" t="s">
        <v>1071</v>
      </c>
      <c r="D120" s="33">
        <v>4</v>
      </c>
      <c r="E120" s="6" t="s">
        <v>29</v>
      </c>
      <c r="F120" s="9">
        <f>BANHEIRA!G36</f>
        <v>3250.5099999999998</v>
      </c>
      <c r="G120" s="9">
        <f t="shared" si="11"/>
        <v>3965.6221999999998</v>
      </c>
      <c r="H120" s="9">
        <f t="shared" ref="H120" si="20">ROUNDUP(D120*F120*(1+$H$8),2)</f>
        <v>15862.49</v>
      </c>
      <c r="I120" s="44">
        <f>ROUNDUP(H120/$H$186,4)</f>
        <v>2.86E-2</v>
      </c>
      <c r="J120" s="181"/>
      <c r="K120" s="73"/>
      <c r="L120" s="80"/>
      <c r="M120" s="45"/>
    </row>
    <row r="121" spans="1:13">
      <c r="A121" s="6" t="s">
        <v>880</v>
      </c>
      <c r="B121" s="6" t="s">
        <v>617</v>
      </c>
      <c r="C121" s="7" t="s">
        <v>618</v>
      </c>
      <c r="D121" s="33">
        <f>D119</f>
        <v>4</v>
      </c>
      <c r="E121" s="6" t="s">
        <v>29</v>
      </c>
      <c r="F121" s="9">
        <v>126.38</v>
      </c>
      <c r="G121" s="9">
        <f t="shared" si="11"/>
        <v>154.18359999999998</v>
      </c>
      <c r="H121" s="9">
        <f t="shared" ref="H121" si="21">ROUNDUP(D121*F121*(1+$H$8),2)</f>
        <v>616.74</v>
      </c>
      <c r="I121" s="44">
        <f t="shared" si="15"/>
        <v>1.1000000000000001E-3</v>
      </c>
      <c r="J121" s="181"/>
      <c r="K121" s="73"/>
      <c r="L121" s="80"/>
      <c r="M121" s="45"/>
    </row>
    <row r="122" spans="1:13" ht="24">
      <c r="A122" s="6" t="s">
        <v>881</v>
      </c>
      <c r="B122" s="14" t="s">
        <v>52</v>
      </c>
      <c r="C122" s="13" t="s">
        <v>53</v>
      </c>
      <c r="D122" s="8">
        <f>D116+D117</f>
        <v>3</v>
      </c>
      <c r="E122" s="14" t="s">
        <v>29</v>
      </c>
      <c r="F122" s="9">
        <v>157.43</v>
      </c>
      <c r="G122" s="9">
        <f t="shared" si="11"/>
        <v>192.06460000000001</v>
      </c>
      <c r="H122" s="34">
        <f>ROUNDDOWN(D122*F122*(1+$H$8),2)</f>
        <v>576.19000000000005</v>
      </c>
      <c r="I122" s="44">
        <f t="shared" si="15"/>
        <v>1E-3</v>
      </c>
      <c r="J122" s="181"/>
      <c r="K122" s="73"/>
      <c r="L122" s="80"/>
      <c r="M122" s="45"/>
    </row>
    <row r="123" spans="1:13" ht="24">
      <c r="A123" s="6" t="s">
        <v>882</v>
      </c>
      <c r="B123" s="31" t="s">
        <v>286</v>
      </c>
      <c r="C123" s="32" t="s">
        <v>287</v>
      </c>
      <c r="D123" s="33">
        <f>D138+5</f>
        <v>6</v>
      </c>
      <c r="E123" s="31" t="s">
        <v>29</v>
      </c>
      <c r="F123" s="34">
        <v>47.76</v>
      </c>
      <c r="G123" s="9">
        <f t="shared" si="11"/>
        <v>58.267199999999995</v>
      </c>
      <c r="H123" s="9">
        <f>ROUNDDOWN(D123*F123*(1+$H$8),2)</f>
        <v>349.6</v>
      </c>
      <c r="I123" s="44">
        <f t="shared" si="15"/>
        <v>5.9999999999999995E-4</v>
      </c>
      <c r="J123" s="181"/>
      <c r="K123" s="73"/>
      <c r="L123" s="82"/>
    </row>
    <row r="124" spans="1:13">
      <c r="A124" s="6" t="s">
        <v>883</v>
      </c>
      <c r="B124" s="14" t="s">
        <v>54</v>
      </c>
      <c r="C124" s="7" t="s">
        <v>284</v>
      </c>
      <c r="D124" s="8">
        <f>D121+D122</f>
        <v>7</v>
      </c>
      <c r="E124" s="14" t="s">
        <v>29</v>
      </c>
      <c r="F124" s="9">
        <v>28.18</v>
      </c>
      <c r="G124" s="9">
        <f t="shared" si="11"/>
        <v>34.379599999999996</v>
      </c>
      <c r="H124" s="9">
        <f t="shared" ref="H124:H130" si="22">ROUNDUP(D124*F124*(1+$H$8),2)</f>
        <v>240.66</v>
      </c>
      <c r="I124" s="44">
        <f t="shared" si="15"/>
        <v>4.0000000000000002E-4</v>
      </c>
      <c r="J124" s="181"/>
      <c r="K124" s="73"/>
      <c r="L124" s="1"/>
    </row>
    <row r="125" spans="1:13">
      <c r="A125" s="6" t="s">
        <v>884</v>
      </c>
      <c r="B125" s="6" t="s">
        <v>149</v>
      </c>
      <c r="C125" s="7" t="s">
        <v>285</v>
      </c>
      <c r="D125" s="8">
        <f>D124+D118</f>
        <v>8</v>
      </c>
      <c r="E125" s="14" t="s">
        <v>29</v>
      </c>
      <c r="F125" s="9">
        <v>11.55</v>
      </c>
      <c r="G125" s="9">
        <f t="shared" si="11"/>
        <v>14.091000000000001</v>
      </c>
      <c r="H125" s="9">
        <f>ROUNDDOWN(D125*F125*(1+$H$8),2)</f>
        <v>112.72</v>
      </c>
      <c r="I125" s="44">
        <f t="shared" si="15"/>
        <v>2.0000000000000001E-4</v>
      </c>
      <c r="J125" s="181"/>
      <c r="K125" s="73"/>
      <c r="L125" s="69"/>
    </row>
    <row r="126" spans="1:13" ht="24">
      <c r="A126" s="6" t="s">
        <v>885</v>
      </c>
      <c r="B126" s="6" t="s">
        <v>145</v>
      </c>
      <c r="C126" s="32" t="s">
        <v>146</v>
      </c>
      <c r="D126" s="33">
        <v>8</v>
      </c>
      <c r="E126" s="6" t="s">
        <v>29</v>
      </c>
      <c r="F126" s="9">
        <v>81.510000000000005</v>
      </c>
      <c r="G126" s="9">
        <f t="shared" si="11"/>
        <v>99.4422</v>
      </c>
      <c r="H126" s="9">
        <f t="shared" ref="H126" si="23">ROUNDUP(D126*F126*(1+$H$8),2)</f>
        <v>795.54</v>
      </c>
      <c r="I126" s="44">
        <f t="shared" si="15"/>
        <v>1.4E-3</v>
      </c>
      <c r="J126" s="181"/>
      <c r="K126" s="73"/>
      <c r="L126" s="69"/>
    </row>
    <row r="127" spans="1:13">
      <c r="A127" s="6" t="s">
        <v>886</v>
      </c>
      <c r="B127" s="6" t="s">
        <v>857</v>
      </c>
      <c r="C127" s="32" t="s">
        <v>858</v>
      </c>
      <c r="D127" s="33">
        <v>2</v>
      </c>
      <c r="E127" s="6" t="s">
        <v>29</v>
      </c>
      <c r="F127" s="9">
        <v>79.03</v>
      </c>
      <c r="G127" s="9">
        <f t="shared" si="11"/>
        <v>96.416600000000003</v>
      </c>
      <c r="H127" s="9">
        <f>ROUNDDOWN(D127*F127*(1+$H$8),2)</f>
        <v>192.83</v>
      </c>
      <c r="I127" s="44">
        <f>ROUNDUP(H127/$H$186,4)</f>
        <v>3.9999999999999996E-4</v>
      </c>
      <c r="J127" s="181"/>
      <c r="K127" s="73"/>
      <c r="L127" s="69"/>
    </row>
    <row r="128" spans="1:13" ht="24">
      <c r="A128" s="6" t="s">
        <v>887</v>
      </c>
      <c r="B128" s="14" t="s">
        <v>86</v>
      </c>
      <c r="C128" s="13" t="s">
        <v>87</v>
      </c>
      <c r="D128" s="33">
        <v>4</v>
      </c>
      <c r="E128" s="14" t="s">
        <v>29</v>
      </c>
      <c r="F128" s="9">
        <v>108.73</v>
      </c>
      <c r="G128" s="9">
        <f t="shared" si="11"/>
        <v>132.6506</v>
      </c>
      <c r="H128" s="34">
        <f>ROUNDDOWN(D128*F128*(1+$H$8),2)</f>
        <v>530.6</v>
      </c>
      <c r="I128" s="44">
        <f>ROUNDUP(H128/$H$186,4)</f>
        <v>1E-3</v>
      </c>
      <c r="J128" s="181"/>
      <c r="K128" s="73"/>
      <c r="L128" s="69"/>
    </row>
    <row r="129" spans="1:12" ht="24">
      <c r="A129" s="6" t="s">
        <v>888</v>
      </c>
      <c r="B129" s="31" t="s">
        <v>88</v>
      </c>
      <c r="C129" s="32" t="s">
        <v>89</v>
      </c>
      <c r="D129" s="33">
        <f>ROUNDUP((12)+(2.75+1.25)*2+(14.5+1.5)+(1.5+1.3+53.5+(4.9+4)),0)</f>
        <v>102</v>
      </c>
      <c r="E129" s="14" t="s">
        <v>7</v>
      </c>
      <c r="F129" s="9">
        <v>27.85</v>
      </c>
      <c r="G129" s="9">
        <f t="shared" si="11"/>
        <v>33.977000000000004</v>
      </c>
      <c r="H129" s="9">
        <f>ROUNDDOWN(D129*F129*(1+$H$8),2)</f>
        <v>3465.65</v>
      </c>
      <c r="I129" s="44">
        <f t="shared" si="15"/>
        <v>6.1999999999999998E-3</v>
      </c>
      <c r="J129" s="181"/>
      <c r="K129" s="73"/>
      <c r="L129" s="69"/>
    </row>
    <row r="130" spans="1:12" ht="24">
      <c r="A130" s="6" t="s">
        <v>889</v>
      </c>
      <c r="B130" s="31" t="s">
        <v>352</v>
      </c>
      <c r="C130" s="32" t="s">
        <v>355</v>
      </c>
      <c r="D130" s="33">
        <f>36+4</f>
        <v>40</v>
      </c>
      <c r="E130" s="31" t="s">
        <v>7</v>
      </c>
      <c r="F130" s="34">
        <v>36.92</v>
      </c>
      <c r="G130" s="9">
        <f t="shared" si="11"/>
        <v>45.042400000000001</v>
      </c>
      <c r="H130" s="9">
        <f t="shared" si="22"/>
        <v>1801.7</v>
      </c>
      <c r="I130" s="44">
        <f>ROUNDUP(H130/$H$186,4)</f>
        <v>3.3E-3</v>
      </c>
      <c r="J130" s="181"/>
      <c r="K130" s="73"/>
      <c r="L130" s="69"/>
    </row>
    <row r="131" spans="1:12" ht="24">
      <c r="A131" s="6" t="s">
        <v>890</v>
      </c>
      <c r="B131" s="31" t="s">
        <v>353</v>
      </c>
      <c r="C131" s="32" t="s">
        <v>354</v>
      </c>
      <c r="D131" s="33">
        <f>ROUNDUP((6.15+3)+(6.25+3),0)</f>
        <v>19</v>
      </c>
      <c r="E131" s="31" t="s">
        <v>7</v>
      </c>
      <c r="F131" s="34">
        <v>48.79</v>
      </c>
      <c r="G131" s="9">
        <f t="shared" si="11"/>
        <v>59.523799999999994</v>
      </c>
      <c r="H131" s="34">
        <f>ROUNDDOWN(D131*F131*(1+$H$8),2)</f>
        <v>1130.95</v>
      </c>
      <c r="I131" s="44">
        <f t="shared" si="15"/>
        <v>2E-3</v>
      </c>
      <c r="J131" s="181"/>
      <c r="K131" s="73"/>
      <c r="L131" s="69"/>
    </row>
    <row r="132" spans="1:12" ht="24">
      <c r="A132" s="6" t="s">
        <v>891</v>
      </c>
      <c r="B132" s="31" t="s">
        <v>90</v>
      </c>
      <c r="C132" s="32" t="s">
        <v>91</v>
      </c>
      <c r="D132" s="8">
        <f>ROUNDUP(1.4+1.2+4.45+1.95+2.4+1.9+2.3+4,0)</f>
        <v>20</v>
      </c>
      <c r="E132" s="14" t="s">
        <v>7</v>
      </c>
      <c r="F132" s="9">
        <v>33.11</v>
      </c>
      <c r="G132" s="9">
        <f t="shared" si="11"/>
        <v>40.394199999999998</v>
      </c>
      <c r="H132" s="34">
        <f>ROUNDDOWN(D132*F132*(1+$H$8),2)</f>
        <v>807.88</v>
      </c>
      <c r="I132" s="44">
        <f>ROUNDUP(H132/$H$186,4)</f>
        <v>1.5E-3</v>
      </c>
      <c r="J132" s="181"/>
      <c r="K132" s="73"/>
      <c r="L132" s="69"/>
    </row>
    <row r="133" spans="1:12" ht="36">
      <c r="A133" s="6" t="s">
        <v>892</v>
      </c>
      <c r="B133" s="31" t="s">
        <v>348</v>
      </c>
      <c r="C133" s="32" t="s">
        <v>349</v>
      </c>
      <c r="D133" s="33">
        <f>ROUNDUP((6+3.6),0)</f>
        <v>10</v>
      </c>
      <c r="E133" s="31" t="s">
        <v>7</v>
      </c>
      <c r="F133" s="34">
        <v>41.68</v>
      </c>
      <c r="G133" s="9">
        <f t="shared" si="11"/>
        <v>50.849599999999995</v>
      </c>
      <c r="H133" s="9">
        <f t="shared" ref="H133" si="24">ROUNDUP(D133*F133*(1+$H$8),2)</f>
        <v>508.5</v>
      </c>
      <c r="I133" s="44">
        <f t="shared" si="15"/>
        <v>8.9999999999999998E-4</v>
      </c>
      <c r="J133" s="181"/>
      <c r="K133" s="73"/>
      <c r="L133" s="69"/>
    </row>
    <row r="134" spans="1:12" ht="36">
      <c r="A134" s="6" t="s">
        <v>893</v>
      </c>
      <c r="B134" s="31" t="s">
        <v>350</v>
      </c>
      <c r="C134" s="32" t="s">
        <v>351</v>
      </c>
      <c r="D134" s="33">
        <f>ROUNDUP((1.2+4+5.15),0)</f>
        <v>11</v>
      </c>
      <c r="E134" s="31" t="s">
        <v>7</v>
      </c>
      <c r="F134" s="34">
        <v>70.81</v>
      </c>
      <c r="G134" s="9">
        <f t="shared" si="11"/>
        <v>86.388199999999998</v>
      </c>
      <c r="H134" s="34">
        <f>ROUNDDOWN(D134*F134*(1+$H$8),2)</f>
        <v>950.27</v>
      </c>
      <c r="I134" s="44">
        <f t="shared" si="15"/>
        <v>1.6999999999999999E-3</v>
      </c>
      <c r="J134" s="181"/>
      <c r="K134" s="73"/>
      <c r="L134" s="69"/>
    </row>
    <row r="135" spans="1:12" ht="24">
      <c r="A135" s="6" t="s">
        <v>894</v>
      </c>
      <c r="B135" s="31" t="s">
        <v>633</v>
      </c>
      <c r="C135" s="32" t="s">
        <v>634</v>
      </c>
      <c r="D135" s="33">
        <v>1</v>
      </c>
      <c r="E135" s="31" t="s">
        <v>29</v>
      </c>
      <c r="F135" s="34">
        <v>654.35</v>
      </c>
      <c r="G135" s="9">
        <f t="shared" si="11"/>
        <v>798.30700000000002</v>
      </c>
      <c r="H135" s="9">
        <f t="shared" ref="H135" si="25">ROUNDUP(D135*F135*(1+$H$8),2)</f>
        <v>798.31</v>
      </c>
      <c r="I135" s="44">
        <f t="shared" si="15"/>
        <v>1.4E-3</v>
      </c>
      <c r="J135" s="181"/>
      <c r="K135" s="73"/>
      <c r="L135" s="69"/>
    </row>
    <row r="136" spans="1:12">
      <c r="A136" s="6" t="s">
        <v>895</v>
      </c>
      <c r="B136" s="31" t="s">
        <v>635</v>
      </c>
      <c r="C136" s="32" t="s">
        <v>636</v>
      </c>
      <c r="D136" s="33">
        <f>D135</f>
        <v>1</v>
      </c>
      <c r="E136" s="31" t="s">
        <v>29</v>
      </c>
      <c r="F136" s="34">
        <v>98.09</v>
      </c>
      <c r="G136" s="9">
        <f t="shared" si="11"/>
        <v>119.6698</v>
      </c>
      <c r="H136" s="9">
        <f t="shared" ref="H136:H137" si="26">ROUNDUP(D136*F136*(1+$H$8),2)</f>
        <v>119.67</v>
      </c>
      <c r="I136" s="44">
        <f t="shared" si="15"/>
        <v>2.0000000000000001E-4</v>
      </c>
      <c r="J136" s="181"/>
      <c r="K136" s="73"/>
      <c r="L136" s="69"/>
    </row>
    <row r="137" spans="1:12">
      <c r="A137" s="6" t="s">
        <v>896</v>
      </c>
      <c r="B137" s="31" t="s">
        <v>346</v>
      </c>
      <c r="C137" s="32" t="s">
        <v>347</v>
      </c>
      <c r="D137" s="8">
        <v>1</v>
      </c>
      <c r="E137" s="6" t="s">
        <v>29</v>
      </c>
      <c r="F137" s="34">
        <f>754.17/1.23</f>
        <v>613.14634146341461</v>
      </c>
      <c r="G137" s="9">
        <f>ROUNDUP(F137*(1+$H$8),2)</f>
        <v>748.04</v>
      </c>
      <c r="H137" s="9">
        <f t="shared" si="26"/>
        <v>748.04</v>
      </c>
      <c r="I137" s="44">
        <f>ROUNDUP(H137/$H$186,4)</f>
        <v>1.4E-3</v>
      </c>
      <c r="J137" s="181"/>
      <c r="K137" s="73"/>
      <c r="L137" s="69"/>
    </row>
    <row r="138" spans="1:12">
      <c r="A138" s="6" t="s">
        <v>897</v>
      </c>
      <c r="B138" s="6" t="s">
        <v>523</v>
      </c>
      <c r="C138" s="7" t="s">
        <v>524</v>
      </c>
      <c r="D138" s="8">
        <v>1</v>
      </c>
      <c r="E138" s="14" t="s">
        <v>29</v>
      </c>
      <c r="F138" s="9">
        <v>827.32</v>
      </c>
      <c r="G138" s="9">
        <f t="shared" si="11"/>
        <v>1009.3304000000001</v>
      </c>
      <c r="H138" s="9">
        <f>ROUNDDOWN(D138*F138*(1+$H$8),2)</f>
        <v>1009.33</v>
      </c>
      <c r="I138" s="44">
        <f t="shared" si="15"/>
        <v>1.8E-3</v>
      </c>
      <c r="J138" s="181"/>
      <c r="K138" s="73"/>
      <c r="L138" s="69"/>
    </row>
    <row r="139" spans="1:12">
      <c r="A139" s="4">
        <v>15</v>
      </c>
      <c r="B139" s="211" t="s">
        <v>247</v>
      </c>
      <c r="C139" s="212"/>
      <c r="D139" s="212"/>
      <c r="E139" s="212"/>
      <c r="F139" s="212"/>
      <c r="G139" s="213"/>
      <c r="H139" s="10">
        <f>SUM(H140:H172)</f>
        <v>43545.5</v>
      </c>
      <c r="I139" s="43">
        <f>ROUNDUP(H139/$H$186,4)</f>
        <v>7.85E-2</v>
      </c>
      <c r="J139" s="181"/>
      <c r="K139" s="73"/>
      <c r="L139" s="69"/>
    </row>
    <row r="140" spans="1:12" ht="24">
      <c r="A140" s="31" t="s">
        <v>950</v>
      </c>
      <c r="B140" s="31" t="s">
        <v>982</v>
      </c>
      <c r="C140" s="7" t="s">
        <v>981</v>
      </c>
      <c r="D140" s="33">
        <v>1</v>
      </c>
      <c r="E140" s="14" t="s">
        <v>29</v>
      </c>
      <c r="F140" s="9">
        <f>3663.21/1.23</f>
        <v>2978.2195121951222</v>
      </c>
      <c r="G140" s="9">
        <f>ROUNDUP(F140*(1+$H$8),2)</f>
        <v>3633.4300000000003</v>
      </c>
      <c r="H140" s="9">
        <f>ROUNDUP(D140*F140*(1+$H$8),2)</f>
        <v>3633.4300000000003</v>
      </c>
      <c r="I140" s="44">
        <f t="shared" si="15"/>
        <v>6.4999999999999997E-3</v>
      </c>
      <c r="J140" s="181"/>
      <c r="K140" s="73"/>
      <c r="L140" s="69"/>
    </row>
    <row r="141" spans="1:12">
      <c r="A141" s="31" t="s">
        <v>951</v>
      </c>
      <c r="B141" s="31" t="s">
        <v>945</v>
      </c>
      <c r="C141" s="7" t="s">
        <v>946</v>
      </c>
      <c r="D141" s="33">
        <v>3</v>
      </c>
      <c r="E141" s="6" t="s">
        <v>29</v>
      </c>
      <c r="F141" s="9">
        <f>264.2/1.23</f>
        <v>214.79674796747966</v>
      </c>
      <c r="G141" s="9">
        <f>ROUNDDOWN(F141*(1+$H$8),2)</f>
        <v>262.05</v>
      </c>
      <c r="H141" s="9">
        <f t="shared" ref="H141" si="27">ROUNDDOWN(D141*F141*(1+$H$8),2)</f>
        <v>786.15</v>
      </c>
      <c r="I141" s="44">
        <f t="shared" si="15"/>
        <v>1.4E-3</v>
      </c>
      <c r="J141" s="181"/>
      <c r="K141" s="73"/>
      <c r="L141" s="69"/>
    </row>
    <row r="142" spans="1:12" ht="24">
      <c r="A142" s="31" t="s">
        <v>952</v>
      </c>
      <c r="B142" s="31" t="s">
        <v>948</v>
      </c>
      <c r="C142" s="32" t="s">
        <v>947</v>
      </c>
      <c r="D142" s="33">
        <v>1</v>
      </c>
      <c r="E142" s="6" t="s">
        <v>29</v>
      </c>
      <c r="F142" s="9">
        <f>825.27/1.23</f>
        <v>670.95121951219517</v>
      </c>
      <c r="G142" s="9">
        <f t="shared" ref="G142" si="28">F142*(1+$H$8)</f>
        <v>818.56048780487811</v>
      </c>
      <c r="H142" s="9">
        <f t="shared" ref="H142" si="29">ROUNDDOWN(D142*F142*(1+$H$8),2)</f>
        <v>818.56</v>
      </c>
      <c r="I142" s="44">
        <f>ROUNDUP(H142/$H$186,4)</f>
        <v>1.5E-3</v>
      </c>
      <c r="J142" s="181"/>
      <c r="K142" s="73"/>
      <c r="L142" s="69"/>
    </row>
    <row r="143" spans="1:12" ht="48">
      <c r="A143" s="31" t="s">
        <v>953</v>
      </c>
      <c r="B143" s="31" t="s">
        <v>910</v>
      </c>
      <c r="C143" s="32" t="s">
        <v>911</v>
      </c>
      <c r="D143" s="33">
        <v>1</v>
      </c>
      <c r="E143" s="14" t="s">
        <v>29</v>
      </c>
      <c r="F143" s="9">
        <v>891.76</v>
      </c>
      <c r="G143" s="9">
        <f t="shared" ref="G143:G147" si="30">F143*(1+$H$8)</f>
        <v>1087.9472000000001</v>
      </c>
      <c r="H143" s="9">
        <f>ROUNDUP(D143*F143*(1+$H$8),2)</f>
        <v>1087.95</v>
      </c>
      <c r="I143" s="44">
        <f>ROUNDUP(H143/$H$186,4)</f>
        <v>2E-3</v>
      </c>
      <c r="J143" s="181"/>
      <c r="K143" s="73"/>
      <c r="L143" s="69"/>
    </row>
    <row r="144" spans="1:12" ht="24">
      <c r="A144" s="31" t="s">
        <v>954</v>
      </c>
      <c r="B144" s="31" t="s">
        <v>920</v>
      </c>
      <c r="C144" s="7" t="s">
        <v>921</v>
      </c>
      <c r="D144" s="33">
        <v>2</v>
      </c>
      <c r="E144" s="6" t="s">
        <v>29</v>
      </c>
      <c r="F144" s="9">
        <v>12.64</v>
      </c>
      <c r="G144" s="9">
        <f t="shared" si="30"/>
        <v>15.4208</v>
      </c>
      <c r="H144" s="9">
        <f t="shared" ref="H144:H146" si="31">ROUNDDOWN(D144*F144*(1+$H$8),2)</f>
        <v>30.84</v>
      </c>
      <c r="I144" s="44">
        <f>ROUNDUP(H144/$H$186,4)</f>
        <v>1E-4</v>
      </c>
      <c r="J144" s="181"/>
      <c r="K144" s="73"/>
      <c r="L144" s="69"/>
    </row>
    <row r="145" spans="1:12" ht="24">
      <c r="A145" s="31" t="s">
        <v>955</v>
      </c>
      <c r="B145" s="31" t="s">
        <v>922</v>
      </c>
      <c r="C145" s="7" t="s">
        <v>924</v>
      </c>
      <c r="D145" s="33">
        <v>6</v>
      </c>
      <c r="E145" s="6" t="s">
        <v>29</v>
      </c>
      <c r="F145" s="9">
        <v>14.1</v>
      </c>
      <c r="G145" s="9">
        <f t="shared" si="30"/>
        <v>17.201999999999998</v>
      </c>
      <c r="H145" s="9">
        <f t="shared" si="31"/>
        <v>103.21</v>
      </c>
      <c r="I145" s="44">
        <f>ROUNDUP(H145/$H$186,4)</f>
        <v>2.0000000000000001E-4</v>
      </c>
      <c r="J145" s="181"/>
      <c r="K145" s="73"/>
      <c r="L145" s="69"/>
    </row>
    <row r="146" spans="1:12" ht="24">
      <c r="A146" s="31" t="s">
        <v>956</v>
      </c>
      <c r="B146" s="31" t="s">
        <v>923</v>
      </c>
      <c r="C146" s="7" t="s">
        <v>925</v>
      </c>
      <c r="D146" s="33">
        <v>1</v>
      </c>
      <c r="E146" s="6" t="s">
        <v>29</v>
      </c>
      <c r="F146" s="9">
        <v>14.1</v>
      </c>
      <c r="G146" s="9">
        <f t="shared" si="30"/>
        <v>17.201999999999998</v>
      </c>
      <c r="H146" s="9">
        <f t="shared" si="31"/>
        <v>17.2</v>
      </c>
      <c r="I146" s="44">
        <f>ROUNDUP(H146/$H$186,4)</f>
        <v>1E-4</v>
      </c>
      <c r="J146" s="181"/>
      <c r="K146" s="73"/>
      <c r="L146" s="69"/>
    </row>
    <row r="147" spans="1:12" ht="24">
      <c r="A147" s="31" t="s">
        <v>957</v>
      </c>
      <c r="B147" s="31" t="s">
        <v>926</v>
      </c>
      <c r="C147" s="7" t="s">
        <v>927</v>
      </c>
      <c r="D147" s="33">
        <v>5</v>
      </c>
      <c r="E147" s="6" t="s">
        <v>29</v>
      </c>
      <c r="F147" s="9">
        <v>64.25</v>
      </c>
      <c r="G147" s="9">
        <f t="shared" si="30"/>
        <v>78.385000000000005</v>
      </c>
      <c r="H147" s="9">
        <f>ROUNDUP(D147*F147*(1+$H$8),2)</f>
        <v>391.93</v>
      </c>
      <c r="I147" s="44">
        <f t="shared" si="15"/>
        <v>6.9999999999999999E-4</v>
      </c>
      <c r="J147" s="181"/>
      <c r="K147" s="73"/>
      <c r="L147" s="69"/>
    </row>
    <row r="148" spans="1:12" ht="24">
      <c r="A148" s="31" t="s">
        <v>958</v>
      </c>
      <c r="B148" s="31" t="s">
        <v>928</v>
      </c>
      <c r="C148" s="7" t="s">
        <v>929</v>
      </c>
      <c r="D148" s="33">
        <v>1</v>
      </c>
      <c r="E148" s="6" t="s">
        <v>29</v>
      </c>
      <c r="F148" s="9">
        <v>66.66</v>
      </c>
      <c r="G148" s="9">
        <f t="shared" ref="G148" si="32">F148*(1+$H$8)</f>
        <v>81.325199999999995</v>
      </c>
      <c r="H148" s="9">
        <f>ROUNDUP(D148*F148*(1+$H$8),2)</f>
        <v>81.33</v>
      </c>
      <c r="I148" s="44">
        <f>ROUNDUP(H148/$H$186,4)</f>
        <v>2.0000000000000001E-4</v>
      </c>
      <c r="J148" s="181"/>
      <c r="K148" s="73"/>
      <c r="L148" s="69"/>
    </row>
    <row r="149" spans="1:12" ht="24">
      <c r="A149" s="31" t="s">
        <v>959</v>
      </c>
      <c r="B149" s="31" t="s">
        <v>930</v>
      </c>
      <c r="C149" s="7" t="s">
        <v>931</v>
      </c>
      <c r="D149" s="33">
        <v>1</v>
      </c>
      <c r="E149" s="6" t="s">
        <v>29</v>
      </c>
      <c r="F149" s="9">
        <v>75.5</v>
      </c>
      <c r="G149" s="9">
        <f t="shared" ref="G149" si="33">F149*(1+$H$8)</f>
        <v>92.11</v>
      </c>
      <c r="H149" s="9">
        <f t="shared" ref="H149" si="34">ROUNDDOWN(D149*F149*(1+$H$8),2)</f>
        <v>92.11</v>
      </c>
      <c r="I149" s="44">
        <f>ROUNDUP(H149/$H$186,4)</f>
        <v>2.0000000000000001E-4</v>
      </c>
      <c r="J149" s="181"/>
      <c r="K149" s="73"/>
      <c r="L149" s="69"/>
    </row>
    <row r="150" spans="1:12">
      <c r="A150" s="31" t="s">
        <v>960</v>
      </c>
      <c r="B150" s="31" t="s">
        <v>912</v>
      </c>
      <c r="C150" s="32" t="s">
        <v>913</v>
      </c>
      <c r="D150" s="33">
        <v>1</v>
      </c>
      <c r="E150" s="31" t="s">
        <v>29</v>
      </c>
      <c r="F150" s="34">
        <v>367.2</v>
      </c>
      <c r="G150" s="9">
        <f t="shared" ref="G150:G185" si="35">F150*(1+$H$8)</f>
        <v>447.98399999999998</v>
      </c>
      <c r="H150" s="9">
        <f>ROUNDDOWN(D150*F150*(1+$H$8),2)</f>
        <v>447.98</v>
      </c>
      <c r="I150" s="44">
        <f t="shared" si="15"/>
        <v>8.0000000000000004E-4</v>
      </c>
      <c r="J150" s="181"/>
      <c r="K150" s="73"/>
      <c r="L150" s="69"/>
    </row>
    <row r="151" spans="1:12">
      <c r="A151" s="31" t="s">
        <v>961</v>
      </c>
      <c r="B151" s="31" t="s">
        <v>298</v>
      </c>
      <c r="C151" s="32" t="s">
        <v>299</v>
      </c>
      <c r="D151" s="33">
        <v>21</v>
      </c>
      <c r="E151" s="31" t="s">
        <v>42</v>
      </c>
      <c r="F151" s="34">
        <v>23.03</v>
      </c>
      <c r="G151" s="9">
        <f t="shared" si="35"/>
        <v>28.096600000000002</v>
      </c>
      <c r="H151" s="9">
        <f>ROUNDUP(D151*F151*(1+$H$8),2)</f>
        <v>590.03</v>
      </c>
      <c r="I151" s="44">
        <f>ROUNDUP(H151/$H$186,4)</f>
        <v>1.1000000000000001E-3</v>
      </c>
      <c r="J151" s="181"/>
      <c r="K151" s="73"/>
      <c r="L151" s="69"/>
    </row>
    <row r="152" spans="1:12">
      <c r="A152" s="31" t="s">
        <v>962</v>
      </c>
      <c r="B152" s="31" t="s">
        <v>160</v>
      </c>
      <c r="C152" s="32" t="s">
        <v>161</v>
      </c>
      <c r="D152" s="33">
        <v>10</v>
      </c>
      <c r="E152" s="31" t="s">
        <v>42</v>
      </c>
      <c r="F152" s="34">
        <v>23.61</v>
      </c>
      <c r="G152" s="9">
        <f t="shared" si="35"/>
        <v>28.804199999999998</v>
      </c>
      <c r="H152" s="9">
        <f>ROUNDDOWN(D152*F152*(1+$H$8),2)</f>
        <v>288.04000000000002</v>
      </c>
      <c r="I152" s="44">
        <f t="shared" si="15"/>
        <v>5.0000000000000001E-4</v>
      </c>
      <c r="J152" s="181"/>
      <c r="K152" s="73"/>
      <c r="L152" s="69"/>
    </row>
    <row r="153" spans="1:12">
      <c r="A153" s="31" t="s">
        <v>963</v>
      </c>
      <c r="B153" s="31" t="s">
        <v>92</v>
      </c>
      <c r="C153" s="13" t="s">
        <v>93</v>
      </c>
      <c r="D153" s="8">
        <v>50</v>
      </c>
      <c r="E153" s="14" t="s">
        <v>42</v>
      </c>
      <c r="F153" s="9">
        <v>33.61</v>
      </c>
      <c r="G153" s="9">
        <f t="shared" si="35"/>
        <v>41.004199999999997</v>
      </c>
      <c r="H153" s="9">
        <f>ROUNDUP(D153*F153*(1+$H$8),2)</f>
        <v>2050.21</v>
      </c>
      <c r="I153" s="44">
        <f>ROUNDUP(H153/$H$186,4)</f>
        <v>3.6999999999999997E-3</v>
      </c>
      <c r="J153" s="181"/>
      <c r="K153" s="73"/>
      <c r="L153" s="69"/>
    </row>
    <row r="154" spans="1:12" ht="36">
      <c r="A154" s="31" t="s">
        <v>964</v>
      </c>
      <c r="B154" s="31" t="s">
        <v>900</v>
      </c>
      <c r="C154" s="7" t="s">
        <v>901</v>
      </c>
      <c r="D154" s="8">
        <v>2</v>
      </c>
      <c r="E154" s="14" t="s">
        <v>29</v>
      </c>
      <c r="F154" s="9">
        <v>69.42</v>
      </c>
      <c r="G154" s="9">
        <f t="shared" ref="G154" si="36">F154*(1+$H$8)</f>
        <v>84.692400000000006</v>
      </c>
      <c r="H154" s="34">
        <f>ROUNDDOWN(D154*F154*(1+$H$8),2)</f>
        <v>169.38</v>
      </c>
      <c r="I154" s="44">
        <f t="shared" si="15"/>
        <v>2.9999999999999997E-4</v>
      </c>
      <c r="J154" s="181"/>
      <c r="K154" s="73"/>
      <c r="L154" s="69"/>
    </row>
    <row r="155" spans="1:12">
      <c r="A155" s="31" t="s">
        <v>965</v>
      </c>
      <c r="B155" s="31" t="s">
        <v>98</v>
      </c>
      <c r="C155" s="7" t="s">
        <v>300</v>
      </c>
      <c r="D155" s="33">
        <f>SUM(D151:D154)</f>
        <v>83</v>
      </c>
      <c r="E155" s="14" t="s">
        <v>29</v>
      </c>
      <c r="F155" s="9">
        <v>13.29</v>
      </c>
      <c r="G155" s="9">
        <f t="shared" si="35"/>
        <v>16.213799999999999</v>
      </c>
      <c r="H155" s="9">
        <f>ROUNDUP(D155*F155*(1+$H$8),2)</f>
        <v>1345.75</v>
      </c>
      <c r="I155" s="44">
        <f t="shared" si="15"/>
        <v>2.3999999999999998E-3</v>
      </c>
      <c r="J155" s="181"/>
      <c r="K155" s="73"/>
      <c r="L155" s="69"/>
    </row>
    <row r="156" spans="1:12">
      <c r="A156" s="31" t="s">
        <v>966</v>
      </c>
      <c r="B156" s="195" t="s">
        <v>764</v>
      </c>
      <c r="C156" s="7" t="s">
        <v>941</v>
      </c>
      <c r="D156" s="33">
        <f>10+4</f>
        <v>14</v>
      </c>
      <c r="E156" s="6" t="s">
        <v>29</v>
      </c>
      <c r="F156" s="9">
        <f>'PLACAS CEGAS'!G30</f>
        <v>4.47</v>
      </c>
      <c r="G156" s="9">
        <f t="shared" ref="G156" si="37">F156*(1+$H$8)</f>
        <v>5.4533999999999994</v>
      </c>
      <c r="H156" s="9">
        <f>ROUNDUP(D156*F156*(1+$H$8),2)</f>
        <v>76.350000000000009</v>
      </c>
      <c r="I156" s="44">
        <f t="shared" si="15"/>
        <v>1E-4</v>
      </c>
      <c r="J156" s="181"/>
      <c r="K156" s="73"/>
      <c r="L156" s="69"/>
    </row>
    <row r="157" spans="1:12" ht="24">
      <c r="A157" s="31" t="s">
        <v>967</v>
      </c>
      <c r="B157" s="31" t="s">
        <v>94</v>
      </c>
      <c r="C157" s="32" t="s">
        <v>95</v>
      </c>
      <c r="D157" s="33">
        <v>200</v>
      </c>
      <c r="E157" s="31" t="s">
        <v>7</v>
      </c>
      <c r="F157" s="34">
        <v>15.18</v>
      </c>
      <c r="G157" s="9">
        <f t="shared" si="35"/>
        <v>18.519600000000001</v>
      </c>
      <c r="H157" s="34">
        <f>ROUNDDOWN(D157*F157*(1+$H$8),2)</f>
        <v>3703.92</v>
      </c>
      <c r="I157" s="44">
        <f>ROUNDUP(H157/$H$186,4)</f>
        <v>6.7000000000000002E-3</v>
      </c>
      <c r="J157" s="181"/>
      <c r="K157" s="73"/>
      <c r="L157" s="69"/>
    </row>
    <row r="158" spans="1:12" ht="24">
      <c r="A158" s="31" t="s">
        <v>968</v>
      </c>
      <c r="B158" s="31" t="s">
        <v>908</v>
      </c>
      <c r="C158" s="32" t="s">
        <v>909</v>
      </c>
      <c r="D158" s="33">
        <v>40</v>
      </c>
      <c r="E158" s="31" t="s">
        <v>7</v>
      </c>
      <c r="F158" s="34">
        <v>17.14</v>
      </c>
      <c r="G158" s="9">
        <f t="shared" ref="G158" si="38">F158*(1+$H$8)</f>
        <v>20.910800000000002</v>
      </c>
      <c r="H158" s="34">
        <f>ROUNDDOWN(D158*F158*(1+$H$8),2)</f>
        <v>836.43</v>
      </c>
      <c r="I158" s="44">
        <f t="shared" si="15"/>
        <v>1.5E-3</v>
      </c>
      <c r="J158" s="181"/>
      <c r="K158" s="73"/>
      <c r="L158" s="69"/>
    </row>
    <row r="159" spans="1:12" ht="24">
      <c r="A159" s="31" t="s">
        <v>969</v>
      </c>
      <c r="B159" s="31" t="s">
        <v>902</v>
      </c>
      <c r="C159" s="32" t="s">
        <v>907</v>
      </c>
      <c r="D159" s="33">
        <f>300*4</f>
        <v>1200</v>
      </c>
      <c r="E159" s="31" t="s">
        <v>7</v>
      </c>
      <c r="F159" s="34">
        <v>3.13</v>
      </c>
      <c r="G159" s="9">
        <f t="shared" si="35"/>
        <v>3.8186</v>
      </c>
      <c r="H159" s="34">
        <f>ROUNDDOWN(D159*F159*(1+$H$8),2)</f>
        <v>4582.32</v>
      </c>
      <c r="I159" s="44">
        <f t="shared" si="15"/>
        <v>8.2000000000000007E-3</v>
      </c>
      <c r="J159" s="181"/>
      <c r="K159" s="73"/>
      <c r="L159" s="69"/>
    </row>
    <row r="160" spans="1:12" ht="24">
      <c r="A160" s="31" t="s">
        <v>970</v>
      </c>
      <c r="B160" s="31" t="s">
        <v>97</v>
      </c>
      <c r="C160" s="32" t="s">
        <v>96</v>
      </c>
      <c r="D160" s="33">
        <f>400*3</f>
        <v>1200</v>
      </c>
      <c r="E160" s="31" t="s">
        <v>7</v>
      </c>
      <c r="F160" s="34">
        <v>3.98</v>
      </c>
      <c r="G160" s="9">
        <f t="shared" si="35"/>
        <v>4.8555999999999999</v>
      </c>
      <c r="H160" s="9">
        <f>ROUNDUP(D160*F160*(1+$H$8),2)</f>
        <v>5826.72</v>
      </c>
      <c r="I160" s="44">
        <f>ROUNDUP(H160/$H$186,4)</f>
        <v>1.0499999999999999E-2</v>
      </c>
      <c r="J160" s="181"/>
      <c r="K160" s="73"/>
      <c r="L160" s="69"/>
    </row>
    <row r="161" spans="1:13" ht="24">
      <c r="A161" s="31" t="s">
        <v>971</v>
      </c>
      <c r="B161" s="31" t="s">
        <v>903</v>
      </c>
      <c r="C161" s="32" t="s">
        <v>906</v>
      </c>
      <c r="D161" s="33">
        <f>50*3</f>
        <v>150</v>
      </c>
      <c r="E161" s="31" t="s">
        <v>7</v>
      </c>
      <c r="F161" s="34">
        <v>6.07</v>
      </c>
      <c r="G161" s="9">
        <f t="shared" ref="G161:G168" si="39">F161*(1+$H$8)</f>
        <v>7.4054000000000002</v>
      </c>
      <c r="H161" s="9">
        <f t="shared" ref="H161:H164" si="40">ROUNDUP(D161*F161*(1+$H$8),2)</f>
        <v>1110.81</v>
      </c>
      <c r="I161" s="44">
        <f t="shared" si="15"/>
        <v>2E-3</v>
      </c>
      <c r="J161" s="181"/>
      <c r="K161" s="73"/>
      <c r="L161" s="69"/>
    </row>
    <row r="162" spans="1:13" ht="24">
      <c r="A162" s="31" t="s">
        <v>972</v>
      </c>
      <c r="B162" s="31" t="s">
        <v>904</v>
      </c>
      <c r="C162" s="32" t="s">
        <v>905</v>
      </c>
      <c r="D162" s="33">
        <f>200+100</f>
        <v>300</v>
      </c>
      <c r="E162" s="31" t="s">
        <v>7</v>
      </c>
      <c r="F162" s="34">
        <v>8.6199999999999992</v>
      </c>
      <c r="G162" s="9">
        <f t="shared" si="39"/>
        <v>10.516399999999999</v>
      </c>
      <c r="H162" s="9">
        <f t="shared" si="40"/>
        <v>3154.92</v>
      </c>
      <c r="I162" s="44">
        <f>ROUNDUP(H162/$H$186,4)</f>
        <v>5.7000000000000002E-3</v>
      </c>
      <c r="J162" s="181"/>
      <c r="K162" s="73"/>
      <c r="L162" s="69"/>
    </row>
    <row r="163" spans="1:13">
      <c r="A163" s="31" t="s">
        <v>973</v>
      </c>
      <c r="B163" s="31" t="s">
        <v>914</v>
      </c>
      <c r="C163" s="32" t="s">
        <v>915</v>
      </c>
      <c r="D163" s="33">
        <v>29</v>
      </c>
      <c r="E163" s="31" t="s">
        <v>7</v>
      </c>
      <c r="F163" s="34">
        <v>9.69</v>
      </c>
      <c r="G163" s="9">
        <f t="shared" si="39"/>
        <v>11.8218</v>
      </c>
      <c r="H163" s="34">
        <f>ROUNDDOWN(D163*F163*(1+$H$8),2)</f>
        <v>342.83</v>
      </c>
      <c r="I163" s="44">
        <f t="shared" si="15"/>
        <v>5.9999999999999995E-4</v>
      </c>
      <c r="J163" s="181"/>
      <c r="K163" s="73"/>
      <c r="L163" s="69"/>
    </row>
    <row r="164" spans="1:13" ht="36">
      <c r="A164" s="31" t="s">
        <v>974</v>
      </c>
      <c r="B164" s="31" t="s">
        <v>916</v>
      </c>
      <c r="C164" s="32" t="s">
        <v>917</v>
      </c>
      <c r="D164" s="33">
        <f>115+38+19</f>
        <v>172</v>
      </c>
      <c r="E164" s="31" t="s">
        <v>7</v>
      </c>
      <c r="F164" s="34">
        <v>12.76</v>
      </c>
      <c r="G164" s="9">
        <f t="shared" si="39"/>
        <v>15.5672</v>
      </c>
      <c r="H164" s="9">
        <f t="shared" si="40"/>
        <v>2677.5600000000004</v>
      </c>
      <c r="I164" s="44">
        <f t="shared" si="15"/>
        <v>4.7999999999999996E-3</v>
      </c>
      <c r="J164" s="181"/>
      <c r="K164" s="73"/>
      <c r="L164" s="69"/>
      <c r="M164" s="183"/>
    </row>
    <row r="165" spans="1:13" ht="36">
      <c r="A165" s="31" t="s">
        <v>975</v>
      </c>
      <c r="B165" s="31" t="s">
        <v>919</v>
      </c>
      <c r="C165" s="32" t="s">
        <v>918</v>
      </c>
      <c r="D165" s="33">
        <f>4.5+1.5</f>
        <v>6</v>
      </c>
      <c r="E165" s="31" t="s">
        <v>7</v>
      </c>
      <c r="F165" s="34">
        <v>23.19</v>
      </c>
      <c r="G165" s="9">
        <f t="shared" si="39"/>
        <v>28.291800000000002</v>
      </c>
      <c r="H165" s="34">
        <f>ROUNDDOWN(D165*F165*(1+$H$8),2)</f>
        <v>169.75</v>
      </c>
      <c r="I165" s="44">
        <f t="shared" si="15"/>
        <v>2.9999999999999997E-4</v>
      </c>
      <c r="J165" s="181"/>
      <c r="K165" s="73"/>
      <c r="L165" s="69"/>
    </row>
    <row r="166" spans="1:13">
      <c r="A166" s="31" t="s">
        <v>976</v>
      </c>
      <c r="B166" s="31" t="s">
        <v>934</v>
      </c>
      <c r="C166" s="32" t="s">
        <v>935</v>
      </c>
      <c r="D166" s="33">
        <f>D167</f>
        <v>6</v>
      </c>
      <c r="E166" s="31" t="s">
        <v>29</v>
      </c>
      <c r="F166" s="34">
        <v>8.9499999999999993</v>
      </c>
      <c r="G166" s="9">
        <f t="shared" ref="G166" si="41">F166*(1+$H$8)</f>
        <v>10.918999999999999</v>
      </c>
      <c r="H166" s="34">
        <f>ROUNDDOWN(D166*F166*(1+$H$8),2)</f>
        <v>65.510000000000005</v>
      </c>
      <c r="I166" s="44">
        <f t="shared" si="15"/>
        <v>1E-4</v>
      </c>
      <c r="J166" s="181"/>
      <c r="K166" s="73"/>
      <c r="L166" s="69"/>
    </row>
    <row r="167" spans="1:13">
      <c r="A167" s="31" t="s">
        <v>977</v>
      </c>
      <c r="B167" s="31" t="s">
        <v>932</v>
      </c>
      <c r="C167" s="32" t="s">
        <v>933</v>
      </c>
      <c r="D167" s="33">
        <v>6</v>
      </c>
      <c r="E167" s="31" t="s">
        <v>29</v>
      </c>
      <c r="F167" s="34">
        <v>164.97</v>
      </c>
      <c r="G167" s="9">
        <f t="shared" si="39"/>
        <v>201.26339999999999</v>
      </c>
      <c r="H167" s="34">
        <f>ROUNDDOWN(D167*F167*(1+$H$8),2)</f>
        <v>1207.58</v>
      </c>
      <c r="I167" s="44">
        <f>ROUNDUP(H167/$H$186,4)</f>
        <v>2.1999999999999997E-3</v>
      </c>
      <c r="J167" s="181"/>
      <c r="K167" s="73"/>
      <c r="L167" s="69"/>
    </row>
    <row r="168" spans="1:13" ht="24" customHeight="1">
      <c r="A168" s="31" t="s">
        <v>989</v>
      </c>
      <c r="B168" s="31" t="s">
        <v>994</v>
      </c>
      <c r="C168" s="32" t="s">
        <v>995</v>
      </c>
      <c r="D168" s="33">
        <v>24</v>
      </c>
      <c r="E168" s="31" t="s">
        <v>29</v>
      </c>
      <c r="F168" s="34">
        <v>10.01</v>
      </c>
      <c r="G168" s="9">
        <f t="shared" si="39"/>
        <v>12.212199999999999</v>
      </c>
      <c r="H168" s="34">
        <f>ROUNDDOWN(D168*F168*(1+$H$8),2)</f>
        <v>293.08999999999997</v>
      </c>
      <c r="I168" s="44">
        <f t="shared" si="15"/>
        <v>5.0000000000000001E-4</v>
      </c>
      <c r="J168" s="181"/>
      <c r="K168" s="73"/>
      <c r="L168" s="69"/>
    </row>
    <row r="169" spans="1:13" ht="24">
      <c r="A169" s="31" t="s">
        <v>990</v>
      </c>
      <c r="B169" s="31" t="s">
        <v>986</v>
      </c>
      <c r="C169" s="32" t="s">
        <v>985</v>
      </c>
      <c r="D169" s="33">
        <v>22</v>
      </c>
      <c r="E169" s="31" t="s">
        <v>29</v>
      </c>
      <c r="F169" s="34">
        <v>68.040000000000006</v>
      </c>
      <c r="G169" s="9">
        <f t="shared" si="35"/>
        <v>83.008800000000008</v>
      </c>
      <c r="H169" s="34">
        <f>ROUNDDOWN(D169*F169*(1+$H$8),2)</f>
        <v>1826.19</v>
      </c>
      <c r="I169" s="44">
        <f>ROUNDUP(H169/$H$186,4)</f>
        <v>3.3E-3</v>
      </c>
      <c r="J169" s="181"/>
      <c r="K169" s="73"/>
      <c r="L169" s="69"/>
    </row>
    <row r="170" spans="1:13">
      <c r="A170" s="31" t="s">
        <v>991</v>
      </c>
      <c r="B170" s="31" t="s">
        <v>987</v>
      </c>
      <c r="C170" s="32" t="s">
        <v>988</v>
      </c>
      <c r="D170" s="33">
        <f>D168</f>
        <v>24</v>
      </c>
      <c r="E170" s="31" t="s">
        <v>29</v>
      </c>
      <c r="F170" s="34">
        <v>33.450000000000003</v>
      </c>
      <c r="G170" s="9">
        <f t="shared" ref="G170" si="42">F170*(1+$H$8)</f>
        <v>40.809000000000005</v>
      </c>
      <c r="H170" s="34">
        <f>ROUNDUP(D170*F170*(1+$H$8),2)</f>
        <v>979.42</v>
      </c>
      <c r="I170" s="44">
        <f t="shared" si="15"/>
        <v>1.6999999999999999E-3</v>
      </c>
      <c r="J170" s="181"/>
      <c r="K170" s="73"/>
      <c r="L170" s="69"/>
    </row>
    <row r="171" spans="1:13" ht="24">
      <c r="A171" s="31" t="s">
        <v>992</v>
      </c>
      <c r="B171" s="31" t="s">
        <v>983</v>
      </c>
      <c r="C171" s="32" t="s">
        <v>984</v>
      </c>
      <c r="D171" s="33">
        <f>D169*2</f>
        <v>44</v>
      </c>
      <c r="E171" s="31" t="s">
        <v>29</v>
      </c>
      <c r="F171" s="34">
        <v>36.15</v>
      </c>
      <c r="G171" s="9">
        <f t="shared" ref="G171" si="43">F171*(1+$H$8)</f>
        <v>44.102999999999994</v>
      </c>
      <c r="H171" s="34">
        <f>ROUNDDOWN(D171*F171*(1+$H$8),2)</f>
        <v>1940.53</v>
      </c>
      <c r="I171" s="44">
        <f>ROUNDUP(H171/$H$186,4)</f>
        <v>3.4999999999999996E-3</v>
      </c>
      <c r="J171" s="181"/>
      <c r="K171" s="73"/>
      <c r="L171" s="69"/>
    </row>
    <row r="172" spans="1:13" ht="24">
      <c r="A172" s="31" t="s">
        <v>993</v>
      </c>
      <c r="B172" s="31" t="s">
        <v>898</v>
      </c>
      <c r="C172" s="7" t="s">
        <v>899</v>
      </c>
      <c r="D172" s="8">
        <v>5</v>
      </c>
      <c r="E172" s="14" t="s">
        <v>29</v>
      </c>
      <c r="F172" s="9">
        <v>461.88</v>
      </c>
      <c r="G172" s="9">
        <f t="shared" ref="G172" si="44">F172*(1+$H$8)</f>
        <v>563.49360000000001</v>
      </c>
      <c r="H172" s="34">
        <f>ROUNDUP(D172*F172*(1+$H$8),2)</f>
        <v>2817.4700000000003</v>
      </c>
      <c r="I172" s="44">
        <f>ROUNDUP(H172/$H$186,4)</f>
        <v>5.1000000000000004E-3</v>
      </c>
      <c r="J172" s="181"/>
      <c r="K172" s="73"/>
      <c r="L172" s="69"/>
    </row>
    <row r="173" spans="1:13">
      <c r="A173" s="4">
        <v>16</v>
      </c>
      <c r="B173" s="214" t="s">
        <v>57</v>
      </c>
      <c r="C173" s="212"/>
      <c r="D173" s="212"/>
      <c r="E173" s="212"/>
      <c r="F173" s="212"/>
      <c r="G173" s="213"/>
      <c r="H173" s="10">
        <f>SUM(H174:H180)</f>
        <v>46214.3</v>
      </c>
      <c r="I173" s="43">
        <f>ROUNDUP(H173/$H$186,4)</f>
        <v>8.3299999999999999E-2</v>
      </c>
      <c r="J173" s="181"/>
      <c r="K173" s="73"/>
      <c r="L173" s="69"/>
    </row>
    <row r="174" spans="1:13">
      <c r="A174" s="6" t="s">
        <v>846</v>
      </c>
      <c r="B174" s="14" t="s">
        <v>60</v>
      </c>
      <c r="C174" s="13" t="s">
        <v>61</v>
      </c>
      <c r="D174" s="8">
        <f>D49</f>
        <v>248.53200000000007</v>
      </c>
      <c r="E174" s="14" t="s">
        <v>5</v>
      </c>
      <c r="F174" s="9">
        <v>15.23</v>
      </c>
      <c r="G174" s="9">
        <f t="shared" si="35"/>
        <v>18.5806</v>
      </c>
      <c r="H174" s="34">
        <f>ROUNDDOWN(D174*F174*(1+$H$8),2)</f>
        <v>4617.87</v>
      </c>
      <c r="I174" s="44">
        <f t="shared" si="15"/>
        <v>8.3000000000000001E-3</v>
      </c>
      <c r="J174" s="181"/>
      <c r="K174" s="73"/>
      <c r="L174" s="1"/>
    </row>
    <row r="175" spans="1:13">
      <c r="A175" s="6" t="s">
        <v>847</v>
      </c>
      <c r="B175" s="6" t="s">
        <v>312</v>
      </c>
      <c r="C175" s="7" t="s">
        <v>313</v>
      </c>
      <c r="D175" s="8">
        <f>D49+(29.52+18.2+24.33)-(21.74*2.8-2*2*1-0.8*2.1)+250</f>
        <v>515.3900000000001</v>
      </c>
      <c r="E175" s="6" t="s">
        <v>5</v>
      </c>
      <c r="F175" s="9">
        <v>12.72</v>
      </c>
      <c r="G175" s="9">
        <f t="shared" si="35"/>
        <v>15.5184</v>
      </c>
      <c r="H175" s="34">
        <f t="shared" ref="H175" si="45">ROUNDUP(D175*F175*(1+$H$8),2)</f>
        <v>7998.0300000000007</v>
      </c>
      <c r="I175" s="44">
        <f t="shared" si="15"/>
        <v>1.44E-2</v>
      </c>
      <c r="J175" s="181"/>
      <c r="K175" s="73"/>
      <c r="L175" s="1"/>
    </row>
    <row r="176" spans="1:13" ht="12" customHeight="1">
      <c r="A176" s="6" t="s">
        <v>848</v>
      </c>
      <c r="B176" s="14" t="s">
        <v>58</v>
      </c>
      <c r="C176" s="13" t="s">
        <v>59</v>
      </c>
      <c r="D176" s="8">
        <f>D174</f>
        <v>248.53200000000007</v>
      </c>
      <c r="E176" s="14" t="s">
        <v>5</v>
      </c>
      <c r="F176" s="9">
        <v>28.4</v>
      </c>
      <c r="G176" s="9">
        <f t="shared" si="35"/>
        <v>34.647999999999996</v>
      </c>
      <c r="H176" s="9">
        <f>ROUNDUP(D176*F176*(1+$H$8),2)</f>
        <v>8611.14</v>
      </c>
      <c r="I176" s="44">
        <f t="shared" ref="I176:I178" si="46">ROUNDDOWN(H176/$H$186,4)</f>
        <v>1.55E-2</v>
      </c>
      <c r="J176" s="181"/>
      <c r="K176" s="73"/>
      <c r="L176" s="1"/>
    </row>
    <row r="177" spans="1:14" ht="12" customHeight="1">
      <c r="A177" s="6" t="s">
        <v>849</v>
      </c>
      <c r="B177" s="6" t="s">
        <v>623</v>
      </c>
      <c r="C177" s="7" t="s">
        <v>624</v>
      </c>
      <c r="D177" s="8">
        <f>D175</f>
        <v>515.3900000000001</v>
      </c>
      <c r="E177" s="6" t="s">
        <v>5</v>
      </c>
      <c r="F177" s="9">
        <v>25.25</v>
      </c>
      <c r="G177" s="9">
        <f t="shared" si="35"/>
        <v>30.805</v>
      </c>
      <c r="H177" s="9">
        <f>ROUNDUP(D177*F177*(1+$H$8),2)</f>
        <v>15876.59</v>
      </c>
      <c r="I177" s="44">
        <f t="shared" si="46"/>
        <v>2.86E-2</v>
      </c>
      <c r="J177" s="181"/>
      <c r="K177" s="73"/>
      <c r="L177" s="1"/>
    </row>
    <row r="178" spans="1:14">
      <c r="A178" s="6" t="s">
        <v>850</v>
      </c>
      <c r="B178" s="6" t="s">
        <v>102</v>
      </c>
      <c r="C178" s="7" t="s">
        <v>103</v>
      </c>
      <c r="D178" s="8">
        <f>D52*(0.7*2.1*3)+D53*(0.8*2.1*3)</f>
        <v>83.160000000000011</v>
      </c>
      <c r="E178" s="6" t="s">
        <v>5</v>
      </c>
      <c r="F178" s="9">
        <v>42.31</v>
      </c>
      <c r="G178" s="9">
        <f t="shared" si="35"/>
        <v>51.618200000000002</v>
      </c>
      <c r="H178" s="9">
        <f>ROUNDUP(D178*F178*(1+$H$8),2)</f>
        <v>4292.5700000000006</v>
      </c>
      <c r="I178" s="44">
        <f t="shared" si="46"/>
        <v>7.7000000000000002E-3</v>
      </c>
      <c r="J178" s="181"/>
      <c r="K178" s="73"/>
      <c r="L178" s="1"/>
    </row>
    <row r="179" spans="1:14">
      <c r="A179" s="6" t="s">
        <v>851</v>
      </c>
      <c r="B179" s="6" t="s">
        <v>105</v>
      </c>
      <c r="C179" s="7" t="s">
        <v>104</v>
      </c>
      <c r="D179" s="8">
        <f>ROUNDUP(D94/3.85,2)*0.36</f>
        <v>52.365599999999993</v>
      </c>
      <c r="E179" s="6" t="s">
        <v>5</v>
      </c>
      <c r="F179" s="9">
        <v>44.43</v>
      </c>
      <c r="G179" s="9">
        <f t="shared" si="35"/>
        <v>54.204599999999999</v>
      </c>
      <c r="H179" s="9">
        <f>ROUNDUP(D179*F179*(1+$H$8),2)</f>
        <v>2838.46</v>
      </c>
      <c r="I179" s="44">
        <f>ROUNDUP(H179/$H$186,4)</f>
        <v>5.2000000000000006E-3</v>
      </c>
      <c r="J179" s="181"/>
      <c r="K179" s="73"/>
      <c r="L179" s="1"/>
    </row>
    <row r="180" spans="1:14" ht="24">
      <c r="A180" s="6" t="s">
        <v>852</v>
      </c>
      <c r="B180" s="6" t="s">
        <v>142</v>
      </c>
      <c r="C180" s="7" t="s">
        <v>143</v>
      </c>
      <c r="D180" s="8">
        <f>ROUNDUP(D100*0.33,2)</f>
        <v>38.69</v>
      </c>
      <c r="E180" s="6" t="s">
        <v>5</v>
      </c>
      <c r="F180" s="9">
        <v>41.94</v>
      </c>
      <c r="G180" s="9">
        <f t="shared" si="35"/>
        <v>51.166799999999995</v>
      </c>
      <c r="H180" s="34">
        <f>ROUNDDOWN(D180*F180*(1+$H$8),2)</f>
        <v>1979.64</v>
      </c>
      <c r="I180" s="44">
        <f>ROUNDUP(H180/$H$186,4)</f>
        <v>3.5999999999999999E-3</v>
      </c>
      <c r="J180" s="181"/>
      <c r="K180" s="73"/>
      <c r="L180" s="1"/>
    </row>
    <row r="181" spans="1:14">
      <c r="A181" s="4">
        <v>17</v>
      </c>
      <c r="B181" s="211" t="s">
        <v>110</v>
      </c>
      <c r="C181" s="212"/>
      <c r="D181" s="212"/>
      <c r="E181" s="212"/>
      <c r="F181" s="212"/>
      <c r="G181" s="213"/>
      <c r="H181" s="10">
        <f>SUM(H182:H185)</f>
        <v>13590.96</v>
      </c>
      <c r="I181" s="43">
        <f>ROUNDUP(H181/$H$186,4)</f>
        <v>2.4500000000000001E-2</v>
      </c>
      <c r="J181" s="181"/>
      <c r="K181" s="73"/>
      <c r="L181" s="1"/>
    </row>
    <row r="182" spans="1:14">
      <c r="A182" s="6" t="s">
        <v>853</v>
      </c>
      <c r="B182" s="6" t="s">
        <v>374</v>
      </c>
      <c r="C182" s="7" t="s">
        <v>375</v>
      </c>
      <c r="D182" s="8">
        <v>1</v>
      </c>
      <c r="E182" s="14" t="s">
        <v>29</v>
      </c>
      <c r="F182" s="9">
        <v>6361.08</v>
      </c>
      <c r="G182" s="9">
        <f t="shared" si="35"/>
        <v>7760.5176000000001</v>
      </c>
      <c r="H182" s="9">
        <f>ROUNDUP(D182*F182*(1+$H$8),2)</f>
        <v>7760.52</v>
      </c>
      <c r="I182" s="44">
        <f>ROUNDUP(H182/$H$186,4)</f>
        <v>1.3999999999999999E-2</v>
      </c>
      <c r="J182" s="181"/>
      <c r="K182" s="73"/>
      <c r="L182" s="1"/>
    </row>
    <row r="183" spans="1:14">
      <c r="A183" s="6" t="s">
        <v>854</v>
      </c>
      <c r="B183" s="6" t="s">
        <v>707</v>
      </c>
      <c r="C183" s="7" t="s">
        <v>708</v>
      </c>
      <c r="D183" s="8">
        <v>26.5</v>
      </c>
      <c r="E183" s="6" t="s">
        <v>5</v>
      </c>
      <c r="F183" s="9">
        <v>14.38</v>
      </c>
      <c r="G183" s="9">
        <f t="shared" si="35"/>
        <v>17.543600000000001</v>
      </c>
      <c r="H183" s="9">
        <f>ROUNDDOWN(D183*F183*(1+$H$8),2)</f>
        <v>464.9</v>
      </c>
      <c r="I183" s="44">
        <f t="shared" ref="I183:I184" si="47">ROUNDDOWN(H183/$H$186,4)</f>
        <v>8.0000000000000004E-4</v>
      </c>
      <c r="J183" s="181"/>
      <c r="K183" s="73"/>
      <c r="L183" s="1"/>
    </row>
    <row r="184" spans="1:14">
      <c r="A184" s="6" t="s">
        <v>855</v>
      </c>
      <c r="B184" s="6" t="s">
        <v>111</v>
      </c>
      <c r="C184" s="7" t="s">
        <v>112</v>
      </c>
      <c r="D184" s="33">
        <v>131</v>
      </c>
      <c r="E184" s="6" t="s">
        <v>5</v>
      </c>
      <c r="F184" s="9">
        <v>11.81</v>
      </c>
      <c r="G184" s="9">
        <f t="shared" si="35"/>
        <v>14.408200000000001</v>
      </c>
      <c r="H184" s="9">
        <f>ROUNDDOWN(D184*F184*(1+$H$8),2)</f>
        <v>1887.47</v>
      </c>
      <c r="I184" s="44">
        <f t="shared" si="47"/>
        <v>3.3999999999999998E-3</v>
      </c>
      <c r="J184" s="181"/>
      <c r="K184" s="73"/>
      <c r="L184" s="1"/>
    </row>
    <row r="185" spans="1:14">
      <c r="A185" s="6" t="s">
        <v>856</v>
      </c>
      <c r="B185" s="6" t="s">
        <v>671</v>
      </c>
      <c r="C185" s="7" t="s">
        <v>672</v>
      </c>
      <c r="D185" s="33">
        <f>377.6</f>
        <v>377.6</v>
      </c>
      <c r="E185" s="6" t="s">
        <v>5</v>
      </c>
      <c r="F185" s="9">
        <v>7.55</v>
      </c>
      <c r="G185" s="9">
        <f t="shared" si="35"/>
        <v>9.2110000000000003</v>
      </c>
      <c r="H185" s="9">
        <f>ROUNDDOWN(D185*F185*(1+$H$8),2)</f>
        <v>3478.07</v>
      </c>
      <c r="I185" s="44">
        <f>ROUNDUP(H185/$H$186,4)</f>
        <v>6.3E-3</v>
      </c>
      <c r="J185" s="181"/>
      <c r="K185" s="73"/>
      <c r="L185" s="1"/>
    </row>
    <row r="186" spans="1:14">
      <c r="A186" s="4"/>
      <c r="B186" s="211" t="s">
        <v>1050</v>
      </c>
      <c r="C186" s="212"/>
      <c r="D186" s="212"/>
      <c r="E186" s="212"/>
      <c r="F186" s="212"/>
      <c r="G186" s="213"/>
      <c r="H186" s="10">
        <f>H10+H12+H30+H41+H48+H51+H70+H73+H76+H83+H88+H90+H106+H108+H139+H173+H181</f>
        <v>555105.55000000005</v>
      </c>
      <c r="I186" s="43">
        <f>I10+I12+I30+I41++I48+I51+I70+I73+I76+I83+I88+I90+I106+I108+I139+I173+I181</f>
        <v>0.99999999999999989</v>
      </c>
      <c r="J186" s="11"/>
      <c r="K186" s="69"/>
      <c r="L186" s="169"/>
      <c r="M186" s="181"/>
      <c r="N186" s="73"/>
    </row>
    <row r="187" spans="1:14" ht="12.75">
      <c r="A187" s="209" t="s">
        <v>13</v>
      </c>
      <c r="B187" s="209"/>
      <c r="C187" s="209"/>
      <c r="D187" s="209"/>
      <c r="E187" s="209"/>
      <c r="F187" s="209"/>
      <c r="G187" s="209"/>
      <c r="H187" s="209"/>
      <c r="I187" s="209"/>
      <c r="J187" s="11"/>
      <c r="M187" s="181"/>
      <c r="N187" s="73"/>
    </row>
    <row r="188" spans="1:14" ht="12.75">
      <c r="A188" s="208" t="s">
        <v>362</v>
      </c>
      <c r="B188" s="208"/>
      <c r="C188" s="208"/>
      <c r="D188" s="208"/>
      <c r="E188" s="208"/>
      <c r="F188" s="208"/>
      <c r="G188" s="208"/>
      <c r="H188" s="208"/>
      <c r="I188" s="208"/>
      <c r="J188" s="11"/>
      <c r="K188" s="11"/>
      <c r="M188" s="181"/>
      <c r="N188" s="73"/>
    </row>
    <row r="189" spans="1:14" ht="12.75">
      <c r="A189" s="208" t="s">
        <v>867</v>
      </c>
      <c r="B189" s="208"/>
      <c r="C189" s="208"/>
      <c r="D189" s="208"/>
      <c r="E189" s="208"/>
      <c r="F189" s="208"/>
      <c r="G189" s="208"/>
      <c r="H189" s="208"/>
      <c r="I189" s="208"/>
      <c r="J189" s="11"/>
      <c r="M189" s="181"/>
      <c r="N189" s="73"/>
    </row>
    <row r="190" spans="1:14" ht="12.75">
      <c r="A190" s="208" t="s">
        <v>860</v>
      </c>
      <c r="B190" s="208"/>
      <c r="C190" s="208"/>
      <c r="D190" s="208"/>
      <c r="E190" s="208"/>
      <c r="F190" s="208"/>
      <c r="G190" s="208"/>
      <c r="H190" s="208"/>
      <c r="I190" s="208"/>
      <c r="J190" s="11"/>
      <c r="M190" s="181"/>
      <c r="N190" s="73"/>
    </row>
    <row r="191" spans="1:14" ht="12.75">
      <c r="A191" s="208" t="s">
        <v>1072</v>
      </c>
      <c r="B191" s="208"/>
      <c r="C191" s="208"/>
      <c r="D191" s="208"/>
      <c r="E191" s="208"/>
      <c r="F191" s="208"/>
      <c r="G191" s="208"/>
      <c r="H191" s="208"/>
      <c r="I191" s="208"/>
      <c r="J191" s="11"/>
      <c r="M191" s="181"/>
      <c r="N191" s="73"/>
    </row>
    <row r="192" spans="1:14" ht="12.75" customHeight="1">
      <c r="A192" s="210" t="s">
        <v>242</v>
      </c>
      <c r="B192" s="210"/>
      <c r="C192" s="210"/>
      <c r="D192" s="210"/>
      <c r="E192" s="210"/>
      <c r="F192" s="210"/>
      <c r="G192" s="210"/>
      <c r="H192" s="210"/>
      <c r="I192" s="210"/>
      <c r="J192" s="11"/>
      <c r="M192" s="181"/>
      <c r="N192" s="73"/>
    </row>
    <row r="193" spans="1:14" ht="12.75" customHeight="1">
      <c r="A193" s="208" t="s">
        <v>1069</v>
      </c>
      <c r="B193" s="209"/>
      <c r="C193" s="209"/>
      <c r="D193" s="209"/>
      <c r="E193" s="209"/>
      <c r="F193" s="209"/>
      <c r="G193" s="209"/>
      <c r="H193" s="209"/>
      <c r="I193" s="209"/>
      <c r="J193" s="11"/>
      <c r="M193" s="181"/>
      <c r="N193" s="73"/>
    </row>
    <row r="194" spans="1:14" ht="12.75" customHeight="1">
      <c r="A194" s="208" t="s">
        <v>1070</v>
      </c>
      <c r="B194" s="209"/>
      <c r="C194" s="209"/>
      <c r="D194" s="209"/>
      <c r="E194" s="209"/>
      <c r="F194" s="209"/>
      <c r="G194" s="209"/>
      <c r="H194" s="209"/>
      <c r="I194" s="209"/>
      <c r="J194" s="11"/>
      <c r="M194" s="181"/>
      <c r="N194" s="73"/>
    </row>
    <row r="195" spans="1:14" ht="12.75" customHeight="1">
      <c r="A195" s="70"/>
      <c r="B195" s="194"/>
      <c r="C195" s="194"/>
      <c r="D195" s="194"/>
      <c r="E195" s="194"/>
      <c r="F195" s="194"/>
      <c r="G195" s="194"/>
      <c r="H195" s="194"/>
      <c r="I195" s="194"/>
      <c r="J195" s="11"/>
    </row>
    <row r="196" spans="1:14" ht="12.75" customHeight="1">
      <c r="A196" s="70"/>
      <c r="B196" s="194"/>
      <c r="C196" s="194"/>
      <c r="D196" s="194"/>
      <c r="E196" s="194"/>
      <c r="F196" s="194"/>
      <c r="G196" s="194"/>
      <c r="H196" s="194"/>
      <c r="I196" s="194"/>
      <c r="J196" s="11"/>
    </row>
    <row r="197" spans="1:14" ht="12.75" customHeight="1">
      <c r="A197" s="70"/>
      <c r="B197" s="70"/>
      <c r="C197" s="70"/>
      <c r="D197" s="70"/>
      <c r="E197" s="70"/>
      <c r="F197" s="70"/>
      <c r="G197" s="70"/>
      <c r="H197" s="70"/>
      <c r="I197" s="70"/>
      <c r="J197" s="11"/>
    </row>
    <row r="198" spans="1:14" ht="12" customHeight="1">
      <c r="A198" s="71"/>
      <c r="B198" s="71"/>
      <c r="C198" s="71"/>
      <c r="D198" s="71"/>
      <c r="E198" s="71"/>
      <c r="F198" s="71"/>
      <c r="G198" s="71"/>
      <c r="H198" s="71"/>
      <c r="I198" s="71"/>
      <c r="J198" s="11"/>
    </row>
    <row r="199" spans="1:14">
      <c r="H199" s="11"/>
      <c r="J199" s="11"/>
      <c r="K199" s="141"/>
    </row>
    <row r="202" spans="1:14">
      <c r="K202" s="11"/>
      <c r="L202" s="171"/>
      <c r="M202" s="11"/>
    </row>
    <row r="203" spans="1:14">
      <c r="C203" s="52"/>
    </row>
    <row r="210" ht="16.5" customHeight="1"/>
  </sheetData>
  <mergeCells count="34">
    <mergeCell ref="B48:G48"/>
    <mergeCell ref="A1:I1"/>
    <mergeCell ref="A2:I2"/>
    <mergeCell ref="A3:I3"/>
    <mergeCell ref="A5:I5"/>
    <mergeCell ref="A6:B6"/>
    <mergeCell ref="C6:E6"/>
    <mergeCell ref="A7:B7"/>
    <mergeCell ref="C7:I7"/>
    <mergeCell ref="B10:G10"/>
    <mergeCell ref="B30:G30"/>
    <mergeCell ref="B41:G41"/>
    <mergeCell ref="B12:G12"/>
    <mergeCell ref="B186:G186"/>
    <mergeCell ref="B51:G51"/>
    <mergeCell ref="B73:G73"/>
    <mergeCell ref="B76:G76"/>
    <mergeCell ref="B83:G83"/>
    <mergeCell ref="B88:G88"/>
    <mergeCell ref="B90:G90"/>
    <mergeCell ref="B106:G106"/>
    <mergeCell ref="B108:G108"/>
    <mergeCell ref="B139:G139"/>
    <mergeCell ref="B173:G173"/>
    <mergeCell ref="B181:G181"/>
    <mergeCell ref="B70:G70"/>
    <mergeCell ref="A194:I194"/>
    <mergeCell ref="A193:I193"/>
    <mergeCell ref="A187:I187"/>
    <mergeCell ref="A188:I188"/>
    <mergeCell ref="A189:I189"/>
    <mergeCell ref="A190:I190"/>
    <mergeCell ref="A192:I192"/>
    <mergeCell ref="A191:I191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4"/>
  <sheetViews>
    <sheetView workbookViewId="0"/>
  </sheetViews>
  <sheetFormatPr defaultRowHeight="12"/>
  <cols>
    <col min="1" max="1" width="9.140625" style="1"/>
    <col min="2" max="2" width="10.85546875" style="1" customWidth="1"/>
    <col min="3" max="3" width="34.7109375" style="1" customWidth="1"/>
    <col min="4" max="4" width="15.7109375" style="1" customWidth="1"/>
    <col min="5" max="21" width="3.7109375" style="1" customWidth="1"/>
    <col min="22" max="22" width="9.140625" style="1"/>
    <col min="23" max="23" width="14.140625" style="1" bestFit="1" customWidth="1"/>
    <col min="24" max="24" width="12.5703125" style="1" bestFit="1" customWidth="1"/>
    <col min="25" max="16384" width="9.140625" style="1"/>
  </cols>
  <sheetData>
    <row r="1" spans="2:21" ht="12.95" customHeight="1">
      <c r="B1" s="217" t="s">
        <v>16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</row>
    <row r="2" spans="2:21" ht="12.95" customHeight="1">
      <c r="B2" s="218" t="s">
        <v>14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</row>
    <row r="3" spans="2:21" ht="12.95" customHeight="1">
      <c r="B3" s="219" t="s">
        <v>15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</row>
    <row r="4" spans="2:21" ht="12.95" customHeight="1">
      <c r="B4" s="249" t="s">
        <v>137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</row>
    <row r="5" spans="2:21" ht="24" customHeight="1">
      <c r="B5" s="48" t="s">
        <v>9</v>
      </c>
      <c r="C5" s="233" t="s">
        <v>862</v>
      </c>
      <c r="D5" s="233"/>
      <c r="E5" s="233"/>
      <c r="F5" s="233"/>
      <c r="G5" s="233"/>
      <c r="H5" s="233"/>
      <c r="I5" s="233"/>
      <c r="J5" s="238" t="s">
        <v>11</v>
      </c>
      <c r="K5" s="238"/>
      <c r="L5" s="238"/>
      <c r="M5" s="238"/>
      <c r="N5" s="238"/>
      <c r="O5" s="247">
        <v>45084</v>
      </c>
      <c r="P5" s="247"/>
      <c r="Q5" s="247"/>
      <c r="R5" s="247"/>
      <c r="S5" s="247"/>
      <c r="T5" s="247"/>
    </row>
    <row r="6" spans="2:21" ht="11.1" customHeight="1">
      <c r="B6" s="65" t="s">
        <v>12</v>
      </c>
      <c r="C6" s="234" t="s">
        <v>368</v>
      </c>
      <c r="D6" s="234"/>
      <c r="E6" s="234"/>
      <c r="F6" s="234"/>
      <c r="G6" s="234"/>
      <c r="H6" s="234"/>
      <c r="I6" s="234"/>
      <c r="J6" s="238"/>
      <c r="K6" s="238"/>
      <c r="L6" s="238"/>
      <c r="M6" s="238"/>
      <c r="N6" s="238"/>
      <c r="O6" s="247"/>
      <c r="P6" s="247"/>
      <c r="Q6" s="247"/>
      <c r="R6" s="247"/>
      <c r="S6" s="247"/>
      <c r="T6" s="247"/>
    </row>
    <row r="7" spans="2:21" ht="11.1" customHeight="1">
      <c r="B7" s="235" t="s">
        <v>1051</v>
      </c>
      <c r="C7" s="236"/>
      <c r="D7" s="236"/>
      <c r="E7" s="236"/>
      <c r="F7" s="236"/>
      <c r="G7" s="236"/>
      <c r="H7" s="236"/>
      <c r="I7" s="237"/>
      <c r="J7" s="238" t="s">
        <v>138</v>
      </c>
      <c r="K7" s="238"/>
      <c r="L7" s="238"/>
      <c r="M7" s="238"/>
      <c r="N7" s="238"/>
      <c r="O7" s="248" t="s">
        <v>1052</v>
      </c>
      <c r="P7" s="248"/>
      <c r="Q7" s="248"/>
      <c r="R7" s="248"/>
      <c r="S7" s="248"/>
      <c r="T7" s="248"/>
    </row>
    <row r="8" spans="2:21" ht="5.0999999999999996" customHeight="1"/>
    <row r="9" spans="2:21">
      <c r="B9" s="42" t="s">
        <v>124</v>
      </c>
      <c r="C9" s="42" t="s">
        <v>125</v>
      </c>
      <c r="D9" s="42" t="s">
        <v>126</v>
      </c>
      <c r="E9" s="230" t="s">
        <v>127</v>
      </c>
      <c r="F9" s="231"/>
      <c r="G9" s="231"/>
      <c r="H9" s="232"/>
      <c r="I9" s="230" t="s">
        <v>128</v>
      </c>
      <c r="J9" s="231"/>
      <c r="K9" s="231"/>
      <c r="L9" s="232"/>
      <c r="M9" s="230" t="s">
        <v>129</v>
      </c>
      <c r="N9" s="231"/>
      <c r="O9" s="231"/>
      <c r="P9" s="232"/>
      <c r="Q9" s="230" t="s">
        <v>130</v>
      </c>
      <c r="R9" s="231"/>
      <c r="S9" s="231"/>
      <c r="T9" s="232"/>
      <c r="U9" s="36"/>
    </row>
    <row r="10" spans="2:21" ht="9" customHeight="1">
      <c r="B10" s="228">
        <v>1</v>
      </c>
      <c r="C10" s="228" t="s">
        <v>513</v>
      </c>
      <c r="D10" s="226">
        <f>'PLANILHA ORÇAMENTÁRIA'!H10</f>
        <v>629.38</v>
      </c>
      <c r="E10" s="49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8"/>
    </row>
    <row r="11" spans="2:21" ht="9" customHeight="1">
      <c r="B11" s="229"/>
      <c r="C11" s="229"/>
      <c r="D11" s="227"/>
      <c r="E11" s="225">
        <v>1</v>
      </c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59"/>
    </row>
    <row r="12" spans="2:21" ht="9" customHeight="1">
      <c r="B12" s="228">
        <v>2</v>
      </c>
      <c r="C12" s="228" t="s">
        <v>391</v>
      </c>
      <c r="D12" s="226">
        <f>'PLANILHA ORÇAMENTÁRIA'!H12</f>
        <v>14452.529999999999</v>
      </c>
      <c r="E12" s="49"/>
      <c r="F12" s="49"/>
      <c r="G12" s="49"/>
      <c r="H12" s="49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8"/>
    </row>
    <row r="13" spans="2:21" ht="9" customHeight="1">
      <c r="B13" s="229"/>
      <c r="C13" s="229"/>
      <c r="D13" s="227"/>
      <c r="E13" s="225">
        <v>1</v>
      </c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59"/>
    </row>
    <row r="14" spans="2:21" ht="9" customHeight="1">
      <c r="B14" s="228">
        <v>3</v>
      </c>
      <c r="C14" s="228" t="s">
        <v>564</v>
      </c>
      <c r="D14" s="226">
        <f>'PLANILHA ORÇAMENTÁRIA'!H30</f>
        <v>20546.420000000002</v>
      </c>
      <c r="E14" s="50"/>
      <c r="F14" s="50"/>
      <c r="G14" s="49"/>
      <c r="H14" s="49"/>
      <c r="I14" s="49"/>
      <c r="J14" s="49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8"/>
    </row>
    <row r="15" spans="2:21" ht="9" customHeight="1">
      <c r="B15" s="229"/>
      <c r="C15" s="229"/>
      <c r="D15" s="227"/>
      <c r="E15" s="225">
        <v>0.5</v>
      </c>
      <c r="F15" s="225"/>
      <c r="G15" s="225"/>
      <c r="H15" s="225"/>
      <c r="I15" s="225">
        <v>0.5</v>
      </c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59"/>
    </row>
    <row r="16" spans="2:21" ht="9" customHeight="1">
      <c r="B16" s="228">
        <v>4</v>
      </c>
      <c r="C16" s="228" t="s">
        <v>113</v>
      </c>
      <c r="D16" s="226">
        <f>'PLANILHA ORÇAMENTÁRIA'!H41</f>
        <v>39266.519999999997</v>
      </c>
      <c r="E16" s="172"/>
      <c r="F16" s="172"/>
      <c r="G16" s="172"/>
      <c r="H16" s="172"/>
      <c r="I16" s="49"/>
      <c r="J16" s="49"/>
      <c r="K16" s="49"/>
      <c r="L16" s="49"/>
      <c r="M16" s="172"/>
      <c r="N16" s="172"/>
      <c r="O16" s="172"/>
      <c r="P16" s="172"/>
      <c r="Q16" s="173"/>
      <c r="R16" s="173"/>
      <c r="S16" s="173"/>
      <c r="T16" s="173"/>
      <c r="U16" s="59"/>
    </row>
    <row r="17" spans="2:21" ht="9" customHeight="1">
      <c r="B17" s="229"/>
      <c r="C17" s="229"/>
      <c r="D17" s="227"/>
      <c r="E17" s="225"/>
      <c r="F17" s="225"/>
      <c r="G17" s="225"/>
      <c r="H17" s="225"/>
      <c r="I17" s="225">
        <v>1</v>
      </c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59"/>
    </row>
    <row r="18" spans="2:21" ht="9" customHeight="1">
      <c r="B18" s="228">
        <v>5</v>
      </c>
      <c r="C18" s="228" t="s">
        <v>80</v>
      </c>
      <c r="D18" s="226">
        <f>'PLANILHA ORÇAMENTÁRIA'!H48</f>
        <v>23876.21</v>
      </c>
      <c r="E18" s="50"/>
      <c r="F18" s="50"/>
      <c r="G18" s="50"/>
      <c r="H18" s="50"/>
      <c r="I18" s="49"/>
      <c r="J18" s="49"/>
      <c r="K18" s="49"/>
      <c r="L18" s="49"/>
      <c r="M18" s="50"/>
      <c r="N18" s="50"/>
      <c r="O18" s="50"/>
      <c r="P18" s="50"/>
      <c r="Q18" s="50"/>
      <c r="R18" s="50"/>
      <c r="S18" s="50"/>
      <c r="T18" s="50"/>
      <c r="U18" s="58"/>
    </row>
    <row r="19" spans="2:21" ht="9" customHeight="1">
      <c r="B19" s="229"/>
      <c r="C19" s="229"/>
      <c r="D19" s="227"/>
      <c r="E19" s="225"/>
      <c r="F19" s="225"/>
      <c r="G19" s="225"/>
      <c r="H19" s="225"/>
      <c r="I19" s="225">
        <v>1</v>
      </c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59"/>
    </row>
    <row r="20" spans="2:21" ht="9" customHeight="1">
      <c r="B20" s="228">
        <v>6</v>
      </c>
      <c r="C20" s="228" t="s">
        <v>479</v>
      </c>
      <c r="D20" s="226">
        <f>'PLANILHA ORÇAMENTÁRIA'!H51</f>
        <v>54872.26</v>
      </c>
      <c r="E20" s="50"/>
      <c r="F20" s="50"/>
      <c r="G20" s="50"/>
      <c r="H20" s="50"/>
      <c r="I20" s="50"/>
      <c r="J20" s="50"/>
      <c r="K20" s="50"/>
      <c r="L20" s="50"/>
      <c r="M20" s="49"/>
      <c r="N20" s="49"/>
      <c r="O20" s="49"/>
      <c r="P20" s="49"/>
      <c r="Q20" s="50"/>
      <c r="R20" s="50"/>
      <c r="S20" s="50"/>
      <c r="T20" s="50"/>
      <c r="U20" s="58"/>
    </row>
    <row r="21" spans="2:21" ht="9" customHeight="1">
      <c r="B21" s="229"/>
      <c r="C21" s="229"/>
      <c r="D21" s="227"/>
      <c r="E21" s="225"/>
      <c r="F21" s="225"/>
      <c r="G21" s="225"/>
      <c r="H21" s="225"/>
      <c r="I21" s="225"/>
      <c r="J21" s="225"/>
      <c r="K21" s="225"/>
      <c r="L21" s="225"/>
      <c r="M21" s="225">
        <v>1</v>
      </c>
      <c r="N21" s="225"/>
      <c r="O21" s="225"/>
      <c r="P21" s="225"/>
      <c r="Q21" s="225"/>
      <c r="R21" s="225"/>
      <c r="S21" s="225"/>
      <c r="T21" s="225"/>
      <c r="U21" s="59"/>
    </row>
    <row r="22" spans="2:21" ht="9" customHeight="1">
      <c r="B22" s="228">
        <v>7</v>
      </c>
      <c r="C22" s="228" t="s">
        <v>480</v>
      </c>
      <c r="D22" s="226">
        <f>'PLANILHA ORÇAMENTÁRIA'!H70</f>
        <v>39312.47</v>
      </c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49"/>
      <c r="P22" s="49"/>
      <c r="Q22" s="49"/>
      <c r="R22" s="49"/>
      <c r="S22" s="173"/>
      <c r="T22" s="173"/>
      <c r="U22" s="59"/>
    </row>
    <row r="23" spans="2:21" ht="9" customHeight="1">
      <c r="B23" s="229"/>
      <c r="C23" s="229"/>
      <c r="D23" s="227"/>
      <c r="E23" s="225"/>
      <c r="F23" s="225"/>
      <c r="G23" s="225"/>
      <c r="H23" s="225"/>
      <c r="I23" s="225"/>
      <c r="J23" s="225"/>
      <c r="K23" s="225"/>
      <c r="L23" s="225"/>
      <c r="M23" s="225">
        <v>0.5</v>
      </c>
      <c r="N23" s="225"/>
      <c r="O23" s="225"/>
      <c r="P23" s="225"/>
      <c r="Q23" s="225">
        <v>0.5</v>
      </c>
      <c r="R23" s="225"/>
      <c r="S23" s="225"/>
      <c r="T23" s="225"/>
      <c r="U23" s="59"/>
    </row>
    <row r="24" spans="2:21" ht="9" customHeight="1">
      <c r="B24" s="228">
        <v>8</v>
      </c>
      <c r="C24" s="228" t="s">
        <v>46</v>
      </c>
      <c r="D24" s="226">
        <f>'PLANILHA ORÇAMENTÁRIA'!H73</f>
        <v>12648.01</v>
      </c>
      <c r="E24" s="50"/>
      <c r="F24" s="50"/>
      <c r="G24" s="50"/>
      <c r="H24" s="50"/>
      <c r="I24" s="50"/>
      <c r="J24" s="50"/>
      <c r="K24" s="50"/>
      <c r="L24" s="49"/>
      <c r="M24" s="49"/>
      <c r="N24" s="49"/>
      <c r="O24" s="49"/>
      <c r="P24" s="50"/>
      <c r="Q24" s="50"/>
      <c r="R24" s="50"/>
      <c r="S24" s="50"/>
      <c r="T24" s="50"/>
      <c r="U24" s="58"/>
    </row>
    <row r="25" spans="2:21" ht="9" customHeight="1">
      <c r="B25" s="229"/>
      <c r="C25" s="229"/>
      <c r="D25" s="227"/>
      <c r="E25" s="225"/>
      <c r="F25" s="225"/>
      <c r="G25" s="225"/>
      <c r="H25" s="225"/>
      <c r="I25" s="225">
        <v>0.2</v>
      </c>
      <c r="J25" s="225"/>
      <c r="K25" s="225"/>
      <c r="L25" s="225"/>
      <c r="M25" s="225">
        <v>0.8</v>
      </c>
      <c r="N25" s="225"/>
      <c r="O25" s="225"/>
      <c r="P25" s="225"/>
      <c r="Q25" s="225"/>
      <c r="R25" s="225"/>
      <c r="S25" s="225"/>
      <c r="T25" s="225"/>
      <c r="U25" s="60"/>
    </row>
    <row r="26" spans="2:21" ht="9" customHeight="1">
      <c r="B26" s="228">
        <v>9</v>
      </c>
      <c r="C26" s="228" t="s">
        <v>47</v>
      </c>
      <c r="D26" s="226">
        <f>'PLANILHA ORÇAMENTÁRIA'!H76</f>
        <v>53866.36</v>
      </c>
      <c r="E26" s="50"/>
      <c r="F26" s="50"/>
      <c r="G26" s="50"/>
      <c r="H26" s="50"/>
      <c r="I26" s="49"/>
      <c r="J26" s="49"/>
      <c r="K26" s="49"/>
      <c r="L26" s="49"/>
      <c r="M26" s="49"/>
      <c r="N26" s="49"/>
      <c r="O26" s="49"/>
      <c r="P26" s="49"/>
      <c r="Q26" s="50"/>
      <c r="R26" s="50"/>
      <c r="S26" s="50"/>
      <c r="T26" s="50"/>
      <c r="U26" s="58"/>
    </row>
    <row r="27" spans="2:21" ht="9" customHeight="1">
      <c r="B27" s="229"/>
      <c r="C27" s="229"/>
      <c r="D27" s="227"/>
      <c r="E27" s="225"/>
      <c r="F27" s="225"/>
      <c r="G27" s="225"/>
      <c r="H27" s="225"/>
      <c r="I27" s="225">
        <v>0.5</v>
      </c>
      <c r="J27" s="225"/>
      <c r="K27" s="225"/>
      <c r="L27" s="225"/>
      <c r="M27" s="225">
        <v>0.5</v>
      </c>
      <c r="N27" s="225"/>
      <c r="O27" s="225"/>
      <c r="P27" s="225"/>
      <c r="Q27" s="225"/>
      <c r="R27" s="225"/>
      <c r="S27" s="225"/>
      <c r="T27" s="225"/>
      <c r="U27" s="59"/>
    </row>
    <row r="28" spans="2:21" ht="9" customHeight="1">
      <c r="B28" s="228">
        <v>10</v>
      </c>
      <c r="C28" s="228" t="s">
        <v>49</v>
      </c>
      <c r="D28" s="226">
        <f>'PLANILHA ORÇAMENTÁRIA'!H83</f>
        <v>40487.230000000003</v>
      </c>
      <c r="E28" s="50"/>
      <c r="F28" s="50"/>
      <c r="G28" s="50"/>
      <c r="H28" s="50"/>
      <c r="I28" s="50"/>
      <c r="J28" s="50"/>
      <c r="K28" s="50"/>
      <c r="L28" s="49"/>
      <c r="M28" s="49"/>
      <c r="N28" s="49"/>
      <c r="O28" s="49"/>
      <c r="P28" s="49"/>
      <c r="Q28" s="50"/>
      <c r="R28" s="50"/>
      <c r="S28" s="50"/>
      <c r="T28" s="50"/>
      <c r="U28" s="58"/>
    </row>
    <row r="29" spans="2:21" ht="9" customHeight="1">
      <c r="B29" s="229"/>
      <c r="C29" s="229"/>
      <c r="D29" s="227"/>
      <c r="E29" s="225"/>
      <c r="F29" s="225"/>
      <c r="G29" s="225"/>
      <c r="H29" s="225"/>
      <c r="I29" s="225">
        <v>0.2</v>
      </c>
      <c r="J29" s="225"/>
      <c r="K29" s="225"/>
      <c r="L29" s="225"/>
      <c r="M29" s="225">
        <v>0.8</v>
      </c>
      <c r="N29" s="225"/>
      <c r="O29" s="225"/>
      <c r="P29" s="225"/>
      <c r="Q29" s="225"/>
      <c r="R29" s="225"/>
      <c r="S29" s="225"/>
      <c r="T29" s="225"/>
      <c r="U29" s="60"/>
    </row>
    <row r="30" spans="2:21" ht="9" customHeight="1">
      <c r="B30" s="228">
        <v>11</v>
      </c>
      <c r="C30" s="228" t="s">
        <v>43</v>
      </c>
      <c r="D30" s="226">
        <f>'PLANILHA ORÇAMENTÁRIA'!H88</f>
        <v>1578.08</v>
      </c>
      <c r="E30" s="50"/>
      <c r="F30" s="50"/>
      <c r="G30" s="50"/>
      <c r="H30" s="49"/>
      <c r="I30" s="49"/>
      <c r="J30" s="49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8"/>
    </row>
    <row r="31" spans="2:21" ht="9" customHeight="1">
      <c r="B31" s="229"/>
      <c r="C31" s="229"/>
      <c r="D31" s="227"/>
      <c r="E31" s="225">
        <v>0.3</v>
      </c>
      <c r="F31" s="225"/>
      <c r="G31" s="225"/>
      <c r="H31" s="225"/>
      <c r="I31" s="225">
        <v>0.7</v>
      </c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60"/>
    </row>
    <row r="32" spans="2:21" ht="9.9499999999999993" customHeight="1">
      <c r="B32" s="228">
        <v>12</v>
      </c>
      <c r="C32" s="245" t="s">
        <v>71</v>
      </c>
      <c r="D32" s="226">
        <f>'PLANILHA ORÇAMENTÁRIA'!H90</f>
        <v>104131.38000000003</v>
      </c>
      <c r="E32" s="50"/>
      <c r="F32" s="50"/>
      <c r="G32" s="50"/>
      <c r="H32" s="50"/>
      <c r="I32" s="50"/>
      <c r="J32" s="50"/>
      <c r="K32" s="49"/>
      <c r="L32" s="49"/>
      <c r="M32" s="49"/>
      <c r="N32" s="49"/>
      <c r="O32" s="49"/>
      <c r="P32" s="49"/>
      <c r="Q32" s="50"/>
      <c r="R32" s="50"/>
      <c r="S32" s="50"/>
      <c r="T32" s="50"/>
      <c r="U32" s="58"/>
    </row>
    <row r="33" spans="2:21" ht="9.9499999999999993" customHeight="1">
      <c r="B33" s="229"/>
      <c r="C33" s="246"/>
      <c r="D33" s="227"/>
      <c r="E33" s="225"/>
      <c r="F33" s="225"/>
      <c r="G33" s="225"/>
      <c r="H33" s="225"/>
      <c r="I33" s="225">
        <v>0.3</v>
      </c>
      <c r="J33" s="225"/>
      <c r="K33" s="225"/>
      <c r="L33" s="225"/>
      <c r="M33" s="225">
        <v>0.7</v>
      </c>
      <c r="N33" s="225"/>
      <c r="O33" s="225"/>
      <c r="P33" s="225"/>
      <c r="Q33" s="225"/>
      <c r="R33" s="225"/>
      <c r="S33" s="225"/>
      <c r="T33" s="225"/>
      <c r="U33" s="59"/>
    </row>
    <row r="34" spans="2:21" ht="9" customHeight="1">
      <c r="B34" s="228">
        <v>13</v>
      </c>
      <c r="C34" s="228" t="s">
        <v>131</v>
      </c>
      <c r="D34" s="226">
        <f>'PLANILHA ORÇAMENTÁRIA'!H106</f>
        <v>5189.55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49"/>
      <c r="P34" s="49"/>
      <c r="Q34" s="50"/>
      <c r="R34" s="50"/>
      <c r="S34" s="50"/>
      <c r="T34" s="50"/>
      <c r="U34" s="58"/>
    </row>
    <row r="35" spans="2:21" ht="9" customHeight="1">
      <c r="B35" s="229"/>
      <c r="C35" s="229"/>
      <c r="D35" s="227"/>
      <c r="E35" s="225"/>
      <c r="F35" s="225"/>
      <c r="G35" s="225"/>
      <c r="H35" s="225"/>
      <c r="I35" s="225"/>
      <c r="J35" s="225"/>
      <c r="K35" s="225"/>
      <c r="L35" s="225"/>
      <c r="M35" s="225">
        <v>1</v>
      </c>
      <c r="N35" s="225"/>
      <c r="O35" s="225"/>
      <c r="P35" s="225"/>
      <c r="Q35" s="225"/>
      <c r="R35" s="225"/>
      <c r="S35" s="225"/>
      <c r="T35" s="225"/>
      <c r="U35" s="59"/>
    </row>
    <row r="36" spans="2:21" ht="12" customHeight="1">
      <c r="B36" s="228">
        <v>14</v>
      </c>
      <c r="C36" s="245" t="s">
        <v>38</v>
      </c>
      <c r="D36" s="226">
        <f>'PLANILHA ORÇAMENTÁRIA'!H108</f>
        <v>40898.389999999985</v>
      </c>
      <c r="E36" s="50"/>
      <c r="F36" s="50"/>
      <c r="G36" s="50"/>
      <c r="H36" s="50"/>
      <c r="I36" s="49"/>
      <c r="J36" s="49"/>
      <c r="K36" s="49"/>
      <c r="L36" s="49"/>
      <c r="M36" s="49"/>
      <c r="N36" s="49"/>
      <c r="O36" s="49"/>
      <c r="P36" s="49"/>
      <c r="Q36" s="50"/>
      <c r="R36" s="50"/>
      <c r="S36" s="50"/>
      <c r="T36" s="50"/>
      <c r="U36" s="58"/>
    </row>
    <row r="37" spans="2:21" ht="12" customHeight="1">
      <c r="B37" s="229"/>
      <c r="C37" s="246"/>
      <c r="D37" s="227"/>
      <c r="E37" s="225"/>
      <c r="F37" s="225"/>
      <c r="G37" s="225"/>
      <c r="H37" s="225"/>
      <c r="I37" s="225">
        <v>0.5</v>
      </c>
      <c r="J37" s="225"/>
      <c r="K37" s="225"/>
      <c r="L37" s="225"/>
      <c r="M37" s="225">
        <v>0.5</v>
      </c>
      <c r="N37" s="225"/>
      <c r="O37" s="225"/>
      <c r="P37" s="225"/>
      <c r="Q37" s="225"/>
      <c r="R37" s="225"/>
      <c r="S37" s="225"/>
      <c r="T37" s="225"/>
      <c r="U37" s="61"/>
    </row>
    <row r="38" spans="2:21" ht="9" customHeight="1">
      <c r="B38" s="228">
        <v>15</v>
      </c>
      <c r="C38" s="245" t="s">
        <v>247</v>
      </c>
      <c r="D38" s="226">
        <f>'PLANILHA ORÇAMENTÁRIA'!H139</f>
        <v>43545.5</v>
      </c>
      <c r="E38" s="50"/>
      <c r="F38" s="50"/>
      <c r="G38" s="50"/>
      <c r="H38" s="50"/>
      <c r="I38" s="49"/>
      <c r="J38" s="49"/>
      <c r="K38" s="49"/>
      <c r="L38" s="49"/>
      <c r="M38" s="49"/>
      <c r="N38" s="49"/>
      <c r="O38" s="49"/>
      <c r="P38" s="49"/>
      <c r="Q38" s="50"/>
      <c r="R38" s="50"/>
      <c r="S38" s="50"/>
      <c r="T38" s="50"/>
      <c r="U38" s="58"/>
    </row>
    <row r="39" spans="2:21" ht="9" customHeight="1">
      <c r="B39" s="229"/>
      <c r="C39" s="246"/>
      <c r="D39" s="227"/>
      <c r="E39" s="225"/>
      <c r="F39" s="225"/>
      <c r="G39" s="225"/>
      <c r="H39" s="225"/>
      <c r="I39" s="225">
        <v>0.5</v>
      </c>
      <c r="J39" s="225"/>
      <c r="K39" s="225"/>
      <c r="L39" s="225"/>
      <c r="M39" s="225">
        <v>0.5</v>
      </c>
      <c r="N39" s="225"/>
      <c r="O39" s="225"/>
      <c r="P39" s="225"/>
      <c r="Q39" s="225"/>
      <c r="R39" s="225"/>
      <c r="S39" s="225"/>
      <c r="T39" s="225"/>
      <c r="U39" s="62"/>
    </row>
    <row r="40" spans="2:21" ht="12" customHeight="1">
      <c r="B40" s="228">
        <v>16</v>
      </c>
      <c r="C40" s="245" t="s">
        <v>57</v>
      </c>
      <c r="D40" s="226">
        <f>'PLANILHA ORÇAMENTÁRIA'!H173</f>
        <v>46214.3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49"/>
      <c r="P40" s="49"/>
      <c r="Q40" s="49"/>
      <c r="R40" s="49"/>
      <c r="S40" s="49"/>
      <c r="T40" s="50"/>
      <c r="U40" s="58"/>
    </row>
    <row r="41" spans="2:21" ht="12" customHeight="1">
      <c r="B41" s="229"/>
      <c r="C41" s="246"/>
      <c r="D41" s="227"/>
      <c r="E41" s="225"/>
      <c r="F41" s="225"/>
      <c r="G41" s="225"/>
      <c r="H41" s="225"/>
      <c r="I41" s="225"/>
      <c r="J41" s="225"/>
      <c r="K41" s="225"/>
      <c r="L41" s="225"/>
      <c r="M41" s="225">
        <v>0.4</v>
      </c>
      <c r="N41" s="225"/>
      <c r="O41" s="225"/>
      <c r="P41" s="225"/>
      <c r="Q41" s="225">
        <v>0.6</v>
      </c>
      <c r="R41" s="225"/>
      <c r="S41" s="225"/>
      <c r="T41" s="225"/>
      <c r="U41" s="59"/>
    </row>
    <row r="42" spans="2:21" ht="11.1" customHeight="1">
      <c r="B42" s="228">
        <v>17</v>
      </c>
      <c r="C42" s="245" t="s">
        <v>110</v>
      </c>
      <c r="D42" s="226">
        <f>'PLANILHA ORÇAMENTÁRIA'!H181</f>
        <v>13590.96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49"/>
      <c r="Q42" s="49"/>
      <c r="R42" s="49"/>
      <c r="S42" s="49"/>
      <c r="T42" s="49"/>
      <c r="U42" s="58"/>
    </row>
    <row r="43" spans="2:21" ht="11.1" customHeight="1">
      <c r="B43" s="229"/>
      <c r="C43" s="246"/>
      <c r="D43" s="227"/>
      <c r="E43" s="225"/>
      <c r="F43" s="225"/>
      <c r="G43" s="225"/>
      <c r="H43" s="225"/>
      <c r="I43" s="225"/>
      <c r="J43" s="225"/>
      <c r="K43" s="225"/>
      <c r="L43" s="225"/>
      <c r="M43" s="225">
        <v>0.2</v>
      </c>
      <c r="N43" s="225"/>
      <c r="O43" s="225"/>
      <c r="P43" s="225"/>
      <c r="Q43" s="225">
        <v>0.8</v>
      </c>
      <c r="R43" s="225"/>
      <c r="S43" s="225"/>
      <c r="T43" s="225"/>
      <c r="U43" s="63"/>
    </row>
    <row r="44" spans="2:21" ht="9" customHeight="1">
      <c r="B44" s="244" t="s">
        <v>101</v>
      </c>
      <c r="C44" s="244"/>
      <c r="D44" s="90">
        <f>SUM(D10:D43)</f>
        <v>555105.55000000005</v>
      </c>
      <c r="E44" s="240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46"/>
      <c r="T44" s="47"/>
    </row>
    <row r="45" spans="2:21">
      <c r="D45" s="27" t="s">
        <v>133</v>
      </c>
      <c r="E45" s="239">
        <f>E47/$Q$48</f>
        <v>4.6529068210541223E-2</v>
      </c>
      <c r="F45" s="239"/>
      <c r="G45" s="239"/>
      <c r="H45" s="239"/>
      <c r="I45" s="239">
        <f t="shared" ref="I45" si="0">I47/$Q$48</f>
        <v>0.33424667254723006</v>
      </c>
      <c r="J45" s="239"/>
      <c r="K45" s="239"/>
      <c r="L45" s="239"/>
      <c r="M45" s="239">
        <f t="shared" ref="M45" si="1">M47/$Q$48</f>
        <v>0.51427560037906295</v>
      </c>
      <c r="N45" s="239"/>
      <c r="O45" s="239"/>
      <c r="P45" s="239"/>
      <c r="Q45" s="239">
        <f t="shared" ref="Q45" si="2">Q47/$Q$48</f>
        <v>0.10494865886316576</v>
      </c>
      <c r="R45" s="239"/>
      <c r="S45" s="239"/>
      <c r="T45" s="239"/>
      <c r="U45" s="64"/>
    </row>
    <row r="46" spans="2:21">
      <c r="D46" s="27" t="s">
        <v>134</v>
      </c>
      <c r="E46" s="239">
        <f>E45</f>
        <v>4.6529068210541223E-2</v>
      </c>
      <c r="F46" s="242"/>
      <c r="G46" s="242"/>
      <c r="H46" s="242"/>
      <c r="I46" s="239">
        <f>E46+I45</f>
        <v>0.38077574075777126</v>
      </c>
      <c r="J46" s="242"/>
      <c r="K46" s="242"/>
      <c r="L46" s="242"/>
      <c r="M46" s="239">
        <f t="shared" ref="M46" si="3">I46+M45</f>
        <v>0.89505134113683416</v>
      </c>
      <c r="N46" s="242"/>
      <c r="O46" s="242"/>
      <c r="P46" s="242"/>
      <c r="Q46" s="239">
        <f t="shared" ref="Q46" si="4">M46+Q45</f>
        <v>0.99999999999999989</v>
      </c>
      <c r="R46" s="242"/>
      <c r="S46" s="242"/>
      <c r="T46" s="242"/>
      <c r="U46" s="36"/>
    </row>
    <row r="47" spans="2:21">
      <c r="D47" s="27" t="s">
        <v>135</v>
      </c>
      <c r="E47" s="243">
        <f>E11*$D$10+E13*$D$12+E15*$D$14+E17*$D$16+E19*$D$18+E21*$D$20+E23*$D$22+E25*$D$24+E27*$D$26+E29*$D$28+E31*$D$30+E33*$D$32+E35*$D$34+E37*$D$36+E39*$D$38+E41*$D$40+E43*$D$42</f>
        <v>25828.543999999998</v>
      </c>
      <c r="F47" s="242"/>
      <c r="G47" s="242"/>
      <c r="H47" s="242"/>
      <c r="I47" s="243">
        <f t="shared" ref="I47" si="5">I11*$D$10+I13*$D$12+I15*$D$14+I17*$D$16+I19*$D$18+I21*$D$20+I23*$D$22+I25*$D$24+I27*$D$26+I29*$D$28+I31*$D$30+I33*$D$32+I35*$D$34+I37*$D$36+I39*$D$38+I41*$D$40+I43*$D$42</f>
        <v>185542.18300000002</v>
      </c>
      <c r="J47" s="242"/>
      <c r="K47" s="242"/>
      <c r="L47" s="242"/>
      <c r="M47" s="243">
        <f t="shared" ref="M47" si="6">M11*$D$10+M13*$D$12+M15*$D$14+M17*$D$16+M19*$D$18+M21*$D$20+M23*$D$22+M25*$D$24+M27*$D$26+M29*$D$28+M31*$D$30+M33*$D$32+M35*$D$34+M37*$D$36+M39*$D$38+M41*$D$40+M43*$D$42</f>
        <v>285477.23999999993</v>
      </c>
      <c r="N47" s="242"/>
      <c r="O47" s="242"/>
      <c r="P47" s="242"/>
      <c r="Q47" s="243">
        <f t="shared" ref="Q47" si="7">Q11*$D$10+Q13*$D$12+Q15*$D$14+Q17*$D$16+Q19*$D$18+Q21*$D$20+Q23*$D$22+Q25*$D$24+Q27*$D$26+Q29*$D$28+Q31*$D$30+Q33*$D$32+Q35*$D$34+Q37*$D$36+Q39*$D$38+Q41*$D$40+Q43*$D$42</f>
        <v>58257.582999999999</v>
      </c>
      <c r="R47" s="242"/>
      <c r="S47" s="242"/>
      <c r="T47" s="242"/>
      <c r="U47" s="36"/>
    </row>
    <row r="48" spans="2:21">
      <c r="D48" s="66" t="s">
        <v>136</v>
      </c>
      <c r="E48" s="243">
        <f>E47</f>
        <v>25828.543999999998</v>
      </c>
      <c r="F48" s="242"/>
      <c r="G48" s="242"/>
      <c r="H48" s="242"/>
      <c r="I48" s="243">
        <f>E48+I47</f>
        <v>211370.72700000001</v>
      </c>
      <c r="J48" s="242"/>
      <c r="K48" s="242"/>
      <c r="L48" s="242"/>
      <c r="M48" s="243">
        <f>M47+I48</f>
        <v>496847.96699999995</v>
      </c>
      <c r="N48" s="242"/>
      <c r="O48" s="242"/>
      <c r="P48" s="242"/>
      <c r="Q48" s="243">
        <f>M48+Q47</f>
        <v>555105.54999999993</v>
      </c>
      <c r="R48" s="242"/>
      <c r="S48" s="242"/>
      <c r="T48" s="242"/>
      <c r="U48" s="36"/>
    </row>
    <row r="49" spans="19:24">
      <c r="V49" s="57">
        <v>1</v>
      </c>
      <c r="W49" s="67">
        <f>E48</f>
        <v>25828.543999999998</v>
      </c>
      <c r="X49" s="68">
        <f>E47</f>
        <v>25828.543999999998</v>
      </c>
    </row>
    <row r="50" spans="19:24">
      <c r="V50" s="57">
        <v>2</v>
      </c>
      <c r="W50" s="68">
        <f>I48</f>
        <v>211370.72700000001</v>
      </c>
      <c r="X50" s="68">
        <f>I47</f>
        <v>185542.18300000002</v>
      </c>
    </row>
    <row r="51" spans="19:24">
      <c r="V51" s="57">
        <v>3</v>
      </c>
      <c r="W51" s="68">
        <f>M48</f>
        <v>496847.96699999995</v>
      </c>
      <c r="X51" s="68">
        <f>M47</f>
        <v>285477.23999999993</v>
      </c>
    </row>
    <row r="52" spans="19:24">
      <c r="V52" s="57">
        <v>4</v>
      </c>
      <c r="W52" s="68">
        <f>Q48</f>
        <v>555105.54999999993</v>
      </c>
      <c r="X52" s="68">
        <f>Q47</f>
        <v>58257.582999999999</v>
      </c>
    </row>
    <row r="64" spans="19:24">
      <c r="S64" s="92"/>
    </row>
  </sheetData>
  <mergeCells count="152">
    <mergeCell ref="E17:H17"/>
    <mergeCell ref="I17:L17"/>
    <mergeCell ref="M17:P17"/>
    <mergeCell ref="Q17:T17"/>
    <mergeCell ref="B16:B17"/>
    <mergeCell ref="C16:C17"/>
    <mergeCell ref="D16:D17"/>
    <mergeCell ref="B22:B23"/>
    <mergeCell ref="C22:C23"/>
    <mergeCell ref="D22:D23"/>
    <mergeCell ref="E23:H23"/>
    <mergeCell ref="I23:L23"/>
    <mergeCell ref="M23:P23"/>
    <mergeCell ref="Q23:T23"/>
    <mergeCell ref="C18:C19"/>
    <mergeCell ref="M19:P19"/>
    <mergeCell ref="O5:T6"/>
    <mergeCell ref="J7:N7"/>
    <mergeCell ref="O7:T7"/>
    <mergeCell ref="B4:T4"/>
    <mergeCell ref="Q29:T29"/>
    <mergeCell ref="E25:H25"/>
    <mergeCell ref="I25:L25"/>
    <mergeCell ref="M25:P25"/>
    <mergeCell ref="Q25:T25"/>
    <mergeCell ref="E21:H21"/>
    <mergeCell ref="I21:L21"/>
    <mergeCell ref="M21:P21"/>
    <mergeCell ref="Q21:T21"/>
    <mergeCell ref="E29:H29"/>
    <mergeCell ref="I29:L29"/>
    <mergeCell ref="M29:P29"/>
    <mergeCell ref="Q27:T27"/>
    <mergeCell ref="Q19:T19"/>
    <mergeCell ref="E19:H19"/>
    <mergeCell ref="I19:L19"/>
    <mergeCell ref="E13:H13"/>
    <mergeCell ref="I13:L13"/>
    <mergeCell ref="M13:P13"/>
    <mergeCell ref="Q13:T13"/>
    <mergeCell ref="Q43:T43"/>
    <mergeCell ref="Q41:T41"/>
    <mergeCell ref="E39:H39"/>
    <mergeCell ref="I39:L39"/>
    <mergeCell ref="M39:P39"/>
    <mergeCell ref="Q39:T39"/>
    <mergeCell ref="E37:H37"/>
    <mergeCell ref="I37:L37"/>
    <mergeCell ref="M37:P37"/>
    <mergeCell ref="Q37:T37"/>
    <mergeCell ref="E41:H41"/>
    <mergeCell ref="I41:L41"/>
    <mergeCell ref="M41:P41"/>
    <mergeCell ref="E43:H43"/>
    <mergeCell ref="I43:L43"/>
    <mergeCell ref="M43:P43"/>
    <mergeCell ref="B44:C44"/>
    <mergeCell ref="B20:B21"/>
    <mergeCell ref="B24:B25"/>
    <mergeCell ref="D28:D29"/>
    <mergeCell ref="D30:D31"/>
    <mergeCell ref="D32:D33"/>
    <mergeCell ref="D34:D35"/>
    <mergeCell ref="D36:D37"/>
    <mergeCell ref="D38:D39"/>
    <mergeCell ref="C40:C41"/>
    <mergeCell ref="C42:C43"/>
    <mergeCell ref="C36:C37"/>
    <mergeCell ref="C38:C39"/>
    <mergeCell ref="C24:C25"/>
    <mergeCell ref="C20:C21"/>
    <mergeCell ref="C34:C35"/>
    <mergeCell ref="B26:B27"/>
    <mergeCell ref="C26:C27"/>
    <mergeCell ref="D26:D27"/>
    <mergeCell ref="C30:C31"/>
    <mergeCell ref="C32:C33"/>
    <mergeCell ref="Q46:T46"/>
    <mergeCell ref="M47:P47"/>
    <mergeCell ref="Q47:T47"/>
    <mergeCell ref="E48:H48"/>
    <mergeCell ref="I48:L48"/>
    <mergeCell ref="M48:P48"/>
    <mergeCell ref="Q48:T48"/>
    <mergeCell ref="E47:H47"/>
    <mergeCell ref="I47:L47"/>
    <mergeCell ref="E46:H46"/>
    <mergeCell ref="I46:L46"/>
    <mergeCell ref="M46:P46"/>
    <mergeCell ref="B1:T1"/>
    <mergeCell ref="M45:P45"/>
    <mergeCell ref="Q45:T45"/>
    <mergeCell ref="B40:B41"/>
    <mergeCell ref="B42:B43"/>
    <mergeCell ref="E45:H45"/>
    <mergeCell ref="I45:L45"/>
    <mergeCell ref="E44:R44"/>
    <mergeCell ref="B28:B29"/>
    <mergeCell ref="B30:B31"/>
    <mergeCell ref="B32:B33"/>
    <mergeCell ref="B34:B35"/>
    <mergeCell ref="B36:B37"/>
    <mergeCell ref="B38:B39"/>
    <mergeCell ref="D40:D41"/>
    <mergeCell ref="D42:D43"/>
    <mergeCell ref="B10:B11"/>
    <mergeCell ref="B12:B13"/>
    <mergeCell ref="B14:B15"/>
    <mergeCell ref="B18:B19"/>
    <mergeCell ref="D18:D19"/>
    <mergeCell ref="D20:D21"/>
    <mergeCell ref="D24:D25"/>
    <mergeCell ref="C28:C29"/>
    <mergeCell ref="B2:T2"/>
    <mergeCell ref="B3:T3"/>
    <mergeCell ref="D10:D11"/>
    <mergeCell ref="D12:D13"/>
    <mergeCell ref="D14:D15"/>
    <mergeCell ref="C12:C13"/>
    <mergeCell ref="C14:C15"/>
    <mergeCell ref="Q11:T11"/>
    <mergeCell ref="E9:H9"/>
    <mergeCell ref="I9:L9"/>
    <mergeCell ref="M9:P9"/>
    <mergeCell ref="Q9:T9"/>
    <mergeCell ref="C10:C11"/>
    <mergeCell ref="E11:H11"/>
    <mergeCell ref="I11:L11"/>
    <mergeCell ref="M11:P11"/>
    <mergeCell ref="E15:H15"/>
    <mergeCell ref="I15:L15"/>
    <mergeCell ref="M15:P15"/>
    <mergeCell ref="Q15:T15"/>
    <mergeCell ref="C5:I5"/>
    <mergeCell ref="C6:I6"/>
    <mergeCell ref="B7:I7"/>
    <mergeCell ref="J5:N6"/>
    <mergeCell ref="E27:H27"/>
    <mergeCell ref="I27:L27"/>
    <mergeCell ref="Q35:T35"/>
    <mergeCell ref="Q33:T33"/>
    <mergeCell ref="I31:L31"/>
    <mergeCell ref="M31:P31"/>
    <mergeCell ref="Q31:T31"/>
    <mergeCell ref="E35:H35"/>
    <mergeCell ref="I35:L35"/>
    <mergeCell ref="M35:P35"/>
    <mergeCell ref="M27:P27"/>
    <mergeCell ref="E33:H33"/>
    <mergeCell ref="I33:L33"/>
    <mergeCell ref="M33:P33"/>
    <mergeCell ref="E31:H31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workbookViewId="0">
      <selection sqref="A1:G1"/>
    </sheetView>
  </sheetViews>
  <sheetFormatPr defaultRowHeight="15.75"/>
  <cols>
    <col min="1" max="1" width="14.42578125" style="142" customWidth="1"/>
    <col min="2" max="2" width="10.5703125" style="142" customWidth="1"/>
    <col min="3" max="3" width="42.140625" style="142" customWidth="1"/>
    <col min="4" max="4" width="19.85546875" style="166" bestFit="1" customWidth="1"/>
    <col min="5" max="5" width="15.7109375" style="166" customWidth="1"/>
    <col min="6" max="6" width="18" style="142" customWidth="1"/>
    <col min="7" max="7" width="14.7109375" style="167" customWidth="1"/>
    <col min="8" max="8" width="14.5703125" style="142" bestFit="1" customWidth="1"/>
    <col min="9" max="9" width="12.7109375" style="142" bestFit="1" customWidth="1"/>
    <col min="10" max="255" width="9.140625" style="142"/>
    <col min="256" max="256" width="16.85546875" style="142" customWidth="1"/>
    <col min="257" max="257" width="12.28515625" style="142" customWidth="1"/>
    <col min="258" max="258" width="42.5703125" style="142" customWidth="1"/>
    <col min="259" max="259" width="19.5703125" style="142" customWidth="1"/>
    <col min="260" max="260" width="13" style="142" bestFit="1" customWidth="1"/>
    <col min="261" max="261" width="16.28515625" style="142" customWidth="1"/>
    <col min="262" max="262" width="14.7109375" style="142" customWidth="1"/>
    <col min="263" max="511" width="9.140625" style="142"/>
    <col min="512" max="512" width="16.85546875" style="142" customWidth="1"/>
    <col min="513" max="513" width="12.28515625" style="142" customWidth="1"/>
    <col min="514" max="514" width="42.5703125" style="142" customWidth="1"/>
    <col min="515" max="515" width="19.5703125" style="142" customWidth="1"/>
    <col min="516" max="516" width="13" style="142" bestFit="1" customWidth="1"/>
    <col min="517" max="517" width="16.28515625" style="142" customWidth="1"/>
    <col min="518" max="518" width="14.7109375" style="142" customWidth="1"/>
    <col min="519" max="767" width="9.140625" style="142"/>
    <col min="768" max="768" width="16.85546875" style="142" customWidth="1"/>
    <col min="769" max="769" width="12.28515625" style="142" customWidth="1"/>
    <col min="770" max="770" width="42.5703125" style="142" customWidth="1"/>
    <col min="771" max="771" width="19.5703125" style="142" customWidth="1"/>
    <col min="772" max="772" width="13" style="142" bestFit="1" customWidth="1"/>
    <col min="773" max="773" width="16.28515625" style="142" customWidth="1"/>
    <col min="774" max="774" width="14.7109375" style="142" customWidth="1"/>
    <col min="775" max="1023" width="9.140625" style="142"/>
    <col min="1024" max="1024" width="16.85546875" style="142" customWidth="1"/>
    <col min="1025" max="1025" width="12.28515625" style="142" customWidth="1"/>
    <col min="1026" max="1026" width="42.5703125" style="142" customWidth="1"/>
    <col min="1027" max="1027" width="19.5703125" style="142" customWidth="1"/>
    <col min="1028" max="1028" width="13" style="142" bestFit="1" customWidth="1"/>
    <col min="1029" max="1029" width="16.28515625" style="142" customWidth="1"/>
    <col min="1030" max="1030" width="14.7109375" style="142" customWidth="1"/>
    <col min="1031" max="1279" width="9.140625" style="142"/>
    <col min="1280" max="1280" width="16.85546875" style="142" customWidth="1"/>
    <col min="1281" max="1281" width="12.28515625" style="142" customWidth="1"/>
    <col min="1282" max="1282" width="42.5703125" style="142" customWidth="1"/>
    <col min="1283" max="1283" width="19.5703125" style="142" customWidth="1"/>
    <col min="1284" max="1284" width="13" style="142" bestFit="1" customWidth="1"/>
    <col min="1285" max="1285" width="16.28515625" style="142" customWidth="1"/>
    <col min="1286" max="1286" width="14.7109375" style="142" customWidth="1"/>
    <col min="1287" max="1535" width="9.140625" style="142"/>
    <col min="1536" max="1536" width="16.85546875" style="142" customWidth="1"/>
    <col min="1537" max="1537" width="12.28515625" style="142" customWidth="1"/>
    <col min="1538" max="1538" width="42.5703125" style="142" customWidth="1"/>
    <col min="1539" max="1539" width="19.5703125" style="142" customWidth="1"/>
    <col min="1540" max="1540" width="13" style="142" bestFit="1" customWidth="1"/>
    <col min="1541" max="1541" width="16.28515625" style="142" customWidth="1"/>
    <col min="1542" max="1542" width="14.7109375" style="142" customWidth="1"/>
    <col min="1543" max="1791" width="9.140625" style="142"/>
    <col min="1792" max="1792" width="16.85546875" style="142" customWidth="1"/>
    <col min="1793" max="1793" width="12.28515625" style="142" customWidth="1"/>
    <col min="1794" max="1794" width="42.5703125" style="142" customWidth="1"/>
    <col min="1795" max="1795" width="19.5703125" style="142" customWidth="1"/>
    <col min="1796" max="1796" width="13" style="142" bestFit="1" customWidth="1"/>
    <col min="1797" max="1797" width="16.28515625" style="142" customWidth="1"/>
    <col min="1798" max="1798" width="14.7109375" style="142" customWidth="1"/>
    <col min="1799" max="2047" width="9.140625" style="142"/>
    <col min="2048" max="2048" width="16.85546875" style="142" customWidth="1"/>
    <col min="2049" max="2049" width="12.28515625" style="142" customWidth="1"/>
    <col min="2050" max="2050" width="42.5703125" style="142" customWidth="1"/>
    <col min="2051" max="2051" width="19.5703125" style="142" customWidth="1"/>
    <col min="2052" max="2052" width="13" style="142" bestFit="1" customWidth="1"/>
    <col min="2053" max="2053" width="16.28515625" style="142" customWidth="1"/>
    <col min="2054" max="2054" width="14.7109375" style="142" customWidth="1"/>
    <col min="2055" max="2303" width="9.140625" style="142"/>
    <col min="2304" max="2304" width="16.85546875" style="142" customWidth="1"/>
    <col min="2305" max="2305" width="12.28515625" style="142" customWidth="1"/>
    <col min="2306" max="2306" width="42.5703125" style="142" customWidth="1"/>
    <col min="2307" max="2307" width="19.5703125" style="142" customWidth="1"/>
    <col min="2308" max="2308" width="13" style="142" bestFit="1" customWidth="1"/>
    <col min="2309" max="2309" width="16.28515625" style="142" customWidth="1"/>
    <col min="2310" max="2310" width="14.7109375" style="142" customWidth="1"/>
    <col min="2311" max="2559" width="9.140625" style="142"/>
    <col min="2560" max="2560" width="16.85546875" style="142" customWidth="1"/>
    <col min="2561" max="2561" width="12.28515625" style="142" customWidth="1"/>
    <col min="2562" max="2562" width="42.5703125" style="142" customWidth="1"/>
    <col min="2563" max="2563" width="19.5703125" style="142" customWidth="1"/>
    <col min="2564" max="2564" width="13" style="142" bestFit="1" customWidth="1"/>
    <col min="2565" max="2565" width="16.28515625" style="142" customWidth="1"/>
    <col min="2566" max="2566" width="14.7109375" style="142" customWidth="1"/>
    <col min="2567" max="2815" width="9.140625" style="142"/>
    <col min="2816" max="2816" width="16.85546875" style="142" customWidth="1"/>
    <col min="2817" max="2817" width="12.28515625" style="142" customWidth="1"/>
    <col min="2818" max="2818" width="42.5703125" style="142" customWidth="1"/>
    <col min="2819" max="2819" width="19.5703125" style="142" customWidth="1"/>
    <col min="2820" max="2820" width="13" style="142" bestFit="1" customWidth="1"/>
    <col min="2821" max="2821" width="16.28515625" style="142" customWidth="1"/>
    <col min="2822" max="2822" width="14.7109375" style="142" customWidth="1"/>
    <col min="2823" max="3071" width="9.140625" style="142"/>
    <col min="3072" max="3072" width="16.85546875" style="142" customWidth="1"/>
    <col min="3073" max="3073" width="12.28515625" style="142" customWidth="1"/>
    <col min="3074" max="3074" width="42.5703125" style="142" customWidth="1"/>
    <col min="3075" max="3075" width="19.5703125" style="142" customWidth="1"/>
    <col min="3076" max="3076" width="13" style="142" bestFit="1" customWidth="1"/>
    <col min="3077" max="3077" width="16.28515625" style="142" customWidth="1"/>
    <col min="3078" max="3078" width="14.7109375" style="142" customWidth="1"/>
    <col min="3079" max="3327" width="9.140625" style="142"/>
    <col min="3328" max="3328" width="16.85546875" style="142" customWidth="1"/>
    <col min="3329" max="3329" width="12.28515625" style="142" customWidth="1"/>
    <col min="3330" max="3330" width="42.5703125" style="142" customWidth="1"/>
    <col min="3331" max="3331" width="19.5703125" style="142" customWidth="1"/>
    <col min="3332" max="3332" width="13" style="142" bestFit="1" customWidth="1"/>
    <col min="3333" max="3333" width="16.28515625" style="142" customWidth="1"/>
    <col min="3334" max="3334" width="14.7109375" style="142" customWidth="1"/>
    <col min="3335" max="3583" width="9.140625" style="142"/>
    <col min="3584" max="3584" width="16.85546875" style="142" customWidth="1"/>
    <col min="3585" max="3585" width="12.28515625" style="142" customWidth="1"/>
    <col min="3586" max="3586" width="42.5703125" style="142" customWidth="1"/>
    <col min="3587" max="3587" width="19.5703125" style="142" customWidth="1"/>
    <col min="3588" max="3588" width="13" style="142" bestFit="1" customWidth="1"/>
    <col min="3589" max="3589" width="16.28515625" style="142" customWidth="1"/>
    <col min="3590" max="3590" width="14.7109375" style="142" customWidth="1"/>
    <col min="3591" max="3839" width="9.140625" style="142"/>
    <col min="3840" max="3840" width="16.85546875" style="142" customWidth="1"/>
    <col min="3841" max="3841" width="12.28515625" style="142" customWidth="1"/>
    <col min="3842" max="3842" width="42.5703125" style="142" customWidth="1"/>
    <col min="3843" max="3843" width="19.5703125" style="142" customWidth="1"/>
    <col min="3844" max="3844" width="13" style="142" bestFit="1" customWidth="1"/>
    <col min="3845" max="3845" width="16.28515625" style="142" customWidth="1"/>
    <col min="3846" max="3846" width="14.7109375" style="142" customWidth="1"/>
    <col min="3847" max="4095" width="9.140625" style="142"/>
    <col min="4096" max="4096" width="16.85546875" style="142" customWidth="1"/>
    <col min="4097" max="4097" width="12.28515625" style="142" customWidth="1"/>
    <col min="4098" max="4098" width="42.5703125" style="142" customWidth="1"/>
    <col min="4099" max="4099" width="19.5703125" style="142" customWidth="1"/>
    <col min="4100" max="4100" width="13" style="142" bestFit="1" customWidth="1"/>
    <col min="4101" max="4101" width="16.28515625" style="142" customWidth="1"/>
    <col min="4102" max="4102" width="14.7109375" style="142" customWidth="1"/>
    <col min="4103" max="4351" width="9.140625" style="142"/>
    <col min="4352" max="4352" width="16.85546875" style="142" customWidth="1"/>
    <col min="4353" max="4353" width="12.28515625" style="142" customWidth="1"/>
    <col min="4354" max="4354" width="42.5703125" style="142" customWidth="1"/>
    <col min="4355" max="4355" width="19.5703125" style="142" customWidth="1"/>
    <col min="4356" max="4356" width="13" style="142" bestFit="1" customWidth="1"/>
    <col min="4357" max="4357" width="16.28515625" style="142" customWidth="1"/>
    <col min="4358" max="4358" width="14.7109375" style="142" customWidth="1"/>
    <col min="4359" max="4607" width="9.140625" style="142"/>
    <col min="4608" max="4608" width="16.85546875" style="142" customWidth="1"/>
    <col min="4609" max="4609" width="12.28515625" style="142" customWidth="1"/>
    <col min="4610" max="4610" width="42.5703125" style="142" customWidth="1"/>
    <col min="4611" max="4611" width="19.5703125" style="142" customWidth="1"/>
    <col min="4612" max="4612" width="13" style="142" bestFit="1" customWidth="1"/>
    <col min="4613" max="4613" width="16.28515625" style="142" customWidth="1"/>
    <col min="4614" max="4614" width="14.7109375" style="142" customWidth="1"/>
    <col min="4615" max="4863" width="9.140625" style="142"/>
    <col min="4864" max="4864" width="16.85546875" style="142" customWidth="1"/>
    <col min="4865" max="4865" width="12.28515625" style="142" customWidth="1"/>
    <col min="4866" max="4866" width="42.5703125" style="142" customWidth="1"/>
    <col min="4867" max="4867" width="19.5703125" style="142" customWidth="1"/>
    <col min="4868" max="4868" width="13" style="142" bestFit="1" customWidth="1"/>
    <col min="4869" max="4869" width="16.28515625" style="142" customWidth="1"/>
    <col min="4870" max="4870" width="14.7109375" style="142" customWidth="1"/>
    <col min="4871" max="5119" width="9.140625" style="142"/>
    <col min="5120" max="5120" width="16.85546875" style="142" customWidth="1"/>
    <col min="5121" max="5121" width="12.28515625" style="142" customWidth="1"/>
    <col min="5122" max="5122" width="42.5703125" style="142" customWidth="1"/>
    <col min="5123" max="5123" width="19.5703125" style="142" customWidth="1"/>
    <col min="5124" max="5124" width="13" style="142" bestFit="1" customWidth="1"/>
    <col min="5125" max="5125" width="16.28515625" style="142" customWidth="1"/>
    <col min="5126" max="5126" width="14.7109375" style="142" customWidth="1"/>
    <col min="5127" max="5375" width="9.140625" style="142"/>
    <col min="5376" max="5376" width="16.85546875" style="142" customWidth="1"/>
    <col min="5377" max="5377" width="12.28515625" style="142" customWidth="1"/>
    <col min="5378" max="5378" width="42.5703125" style="142" customWidth="1"/>
    <col min="5379" max="5379" width="19.5703125" style="142" customWidth="1"/>
    <col min="5380" max="5380" width="13" style="142" bestFit="1" customWidth="1"/>
    <col min="5381" max="5381" width="16.28515625" style="142" customWidth="1"/>
    <col min="5382" max="5382" width="14.7109375" style="142" customWidth="1"/>
    <col min="5383" max="5631" width="9.140625" style="142"/>
    <col min="5632" max="5632" width="16.85546875" style="142" customWidth="1"/>
    <col min="5633" max="5633" width="12.28515625" style="142" customWidth="1"/>
    <col min="5634" max="5634" width="42.5703125" style="142" customWidth="1"/>
    <col min="5635" max="5635" width="19.5703125" style="142" customWidth="1"/>
    <col min="5636" max="5636" width="13" style="142" bestFit="1" customWidth="1"/>
    <col min="5637" max="5637" width="16.28515625" style="142" customWidth="1"/>
    <col min="5638" max="5638" width="14.7109375" style="142" customWidth="1"/>
    <col min="5639" max="5887" width="9.140625" style="142"/>
    <col min="5888" max="5888" width="16.85546875" style="142" customWidth="1"/>
    <col min="5889" max="5889" width="12.28515625" style="142" customWidth="1"/>
    <col min="5890" max="5890" width="42.5703125" style="142" customWidth="1"/>
    <col min="5891" max="5891" width="19.5703125" style="142" customWidth="1"/>
    <col min="5892" max="5892" width="13" style="142" bestFit="1" customWidth="1"/>
    <col min="5893" max="5893" width="16.28515625" style="142" customWidth="1"/>
    <col min="5894" max="5894" width="14.7109375" style="142" customWidth="1"/>
    <col min="5895" max="6143" width="9.140625" style="142"/>
    <col min="6144" max="6144" width="16.85546875" style="142" customWidth="1"/>
    <col min="6145" max="6145" width="12.28515625" style="142" customWidth="1"/>
    <col min="6146" max="6146" width="42.5703125" style="142" customWidth="1"/>
    <col min="6147" max="6147" width="19.5703125" style="142" customWidth="1"/>
    <col min="6148" max="6148" width="13" style="142" bestFit="1" customWidth="1"/>
    <col min="6149" max="6149" width="16.28515625" style="142" customWidth="1"/>
    <col min="6150" max="6150" width="14.7109375" style="142" customWidth="1"/>
    <col min="6151" max="6399" width="9.140625" style="142"/>
    <col min="6400" max="6400" width="16.85546875" style="142" customWidth="1"/>
    <col min="6401" max="6401" width="12.28515625" style="142" customWidth="1"/>
    <col min="6402" max="6402" width="42.5703125" style="142" customWidth="1"/>
    <col min="6403" max="6403" width="19.5703125" style="142" customWidth="1"/>
    <col min="6404" max="6404" width="13" style="142" bestFit="1" customWidth="1"/>
    <col min="6405" max="6405" width="16.28515625" style="142" customWidth="1"/>
    <col min="6406" max="6406" width="14.7109375" style="142" customWidth="1"/>
    <col min="6407" max="6655" width="9.140625" style="142"/>
    <col min="6656" max="6656" width="16.85546875" style="142" customWidth="1"/>
    <col min="6657" max="6657" width="12.28515625" style="142" customWidth="1"/>
    <col min="6658" max="6658" width="42.5703125" style="142" customWidth="1"/>
    <col min="6659" max="6659" width="19.5703125" style="142" customWidth="1"/>
    <col min="6660" max="6660" width="13" style="142" bestFit="1" customWidth="1"/>
    <col min="6661" max="6661" width="16.28515625" style="142" customWidth="1"/>
    <col min="6662" max="6662" width="14.7109375" style="142" customWidth="1"/>
    <col min="6663" max="6911" width="9.140625" style="142"/>
    <col min="6912" max="6912" width="16.85546875" style="142" customWidth="1"/>
    <col min="6913" max="6913" width="12.28515625" style="142" customWidth="1"/>
    <col min="6914" max="6914" width="42.5703125" style="142" customWidth="1"/>
    <col min="6915" max="6915" width="19.5703125" style="142" customWidth="1"/>
    <col min="6916" max="6916" width="13" style="142" bestFit="1" customWidth="1"/>
    <col min="6917" max="6917" width="16.28515625" style="142" customWidth="1"/>
    <col min="6918" max="6918" width="14.7109375" style="142" customWidth="1"/>
    <col min="6919" max="7167" width="9.140625" style="142"/>
    <col min="7168" max="7168" width="16.85546875" style="142" customWidth="1"/>
    <col min="7169" max="7169" width="12.28515625" style="142" customWidth="1"/>
    <col min="7170" max="7170" width="42.5703125" style="142" customWidth="1"/>
    <col min="7171" max="7171" width="19.5703125" style="142" customWidth="1"/>
    <col min="7172" max="7172" width="13" style="142" bestFit="1" customWidth="1"/>
    <col min="7173" max="7173" width="16.28515625" style="142" customWidth="1"/>
    <col min="7174" max="7174" width="14.7109375" style="142" customWidth="1"/>
    <col min="7175" max="7423" width="9.140625" style="142"/>
    <col min="7424" max="7424" width="16.85546875" style="142" customWidth="1"/>
    <col min="7425" max="7425" width="12.28515625" style="142" customWidth="1"/>
    <col min="7426" max="7426" width="42.5703125" style="142" customWidth="1"/>
    <col min="7427" max="7427" width="19.5703125" style="142" customWidth="1"/>
    <col min="7428" max="7428" width="13" style="142" bestFit="1" customWidth="1"/>
    <col min="7429" max="7429" width="16.28515625" style="142" customWidth="1"/>
    <col min="7430" max="7430" width="14.7109375" style="142" customWidth="1"/>
    <col min="7431" max="7679" width="9.140625" style="142"/>
    <col min="7680" max="7680" width="16.85546875" style="142" customWidth="1"/>
    <col min="7681" max="7681" width="12.28515625" style="142" customWidth="1"/>
    <col min="7682" max="7682" width="42.5703125" style="142" customWidth="1"/>
    <col min="7683" max="7683" width="19.5703125" style="142" customWidth="1"/>
    <col min="7684" max="7684" width="13" style="142" bestFit="1" customWidth="1"/>
    <col min="7685" max="7685" width="16.28515625" style="142" customWidth="1"/>
    <col min="7686" max="7686" width="14.7109375" style="142" customWidth="1"/>
    <col min="7687" max="7935" width="9.140625" style="142"/>
    <col min="7936" max="7936" width="16.85546875" style="142" customWidth="1"/>
    <col min="7937" max="7937" width="12.28515625" style="142" customWidth="1"/>
    <col min="7938" max="7938" width="42.5703125" style="142" customWidth="1"/>
    <col min="7939" max="7939" width="19.5703125" style="142" customWidth="1"/>
    <col min="7940" max="7940" width="13" style="142" bestFit="1" customWidth="1"/>
    <col min="7941" max="7941" width="16.28515625" style="142" customWidth="1"/>
    <col min="7942" max="7942" width="14.7109375" style="142" customWidth="1"/>
    <col min="7943" max="8191" width="9.140625" style="142"/>
    <col min="8192" max="8192" width="16.85546875" style="142" customWidth="1"/>
    <col min="8193" max="8193" width="12.28515625" style="142" customWidth="1"/>
    <col min="8194" max="8194" width="42.5703125" style="142" customWidth="1"/>
    <col min="8195" max="8195" width="19.5703125" style="142" customWidth="1"/>
    <col min="8196" max="8196" width="13" style="142" bestFit="1" customWidth="1"/>
    <col min="8197" max="8197" width="16.28515625" style="142" customWidth="1"/>
    <col min="8198" max="8198" width="14.7109375" style="142" customWidth="1"/>
    <col min="8199" max="8447" width="9.140625" style="142"/>
    <col min="8448" max="8448" width="16.85546875" style="142" customWidth="1"/>
    <col min="8449" max="8449" width="12.28515625" style="142" customWidth="1"/>
    <col min="8450" max="8450" width="42.5703125" style="142" customWidth="1"/>
    <col min="8451" max="8451" width="19.5703125" style="142" customWidth="1"/>
    <col min="8452" max="8452" width="13" style="142" bestFit="1" customWidth="1"/>
    <col min="8453" max="8453" width="16.28515625" style="142" customWidth="1"/>
    <col min="8454" max="8454" width="14.7109375" style="142" customWidth="1"/>
    <col min="8455" max="8703" width="9.140625" style="142"/>
    <col min="8704" max="8704" width="16.85546875" style="142" customWidth="1"/>
    <col min="8705" max="8705" width="12.28515625" style="142" customWidth="1"/>
    <col min="8706" max="8706" width="42.5703125" style="142" customWidth="1"/>
    <col min="8707" max="8707" width="19.5703125" style="142" customWidth="1"/>
    <col min="8708" max="8708" width="13" style="142" bestFit="1" customWidth="1"/>
    <col min="8709" max="8709" width="16.28515625" style="142" customWidth="1"/>
    <col min="8710" max="8710" width="14.7109375" style="142" customWidth="1"/>
    <col min="8711" max="8959" width="9.140625" style="142"/>
    <col min="8960" max="8960" width="16.85546875" style="142" customWidth="1"/>
    <col min="8961" max="8961" width="12.28515625" style="142" customWidth="1"/>
    <col min="8962" max="8962" width="42.5703125" style="142" customWidth="1"/>
    <col min="8963" max="8963" width="19.5703125" style="142" customWidth="1"/>
    <col min="8964" max="8964" width="13" style="142" bestFit="1" customWidth="1"/>
    <col min="8965" max="8965" width="16.28515625" style="142" customWidth="1"/>
    <col min="8966" max="8966" width="14.7109375" style="142" customWidth="1"/>
    <col min="8967" max="9215" width="9.140625" style="142"/>
    <col min="9216" max="9216" width="16.85546875" style="142" customWidth="1"/>
    <col min="9217" max="9217" width="12.28515625" style="142" customWidth="1"/>
    <col min="9218" max="9218" width="42.5703125" style="142" customWidth="1"/>
    <col min="9219" max="9219" width="19.5703125" style="142" customWidth="1"/>
    <col min="9220" max="9220" width="13" style="142" bestFit="1" customWidth="1"/>
    <col min="9221" max="9221" width="16.28515625" style="142" customWidth="1"/>
    <col min="9222" max="9222" width="14.7109375" style="142" customWidth="1"/>
    <col min="9223" max="9471" width="9.140625" style="142"/>
    <col min="9472" max="9472" width="16.85546875" style="142" customWidth="1"/>
    <col min="9473" max="9473" width="12.28515625" style="142" customWidth="1"/>
    <col min="9474" max="9474" width="42.5703125" style="142" customWidth="1"/>
    <col min="9475" max="9475" width="19.5703125" style="142" customWidth="1"/>
    <col min="9476" max="9476" width="13" style="142" bestFit="1" customWidth="1"/>
    <col min="9477" max="9477" width="16.28515625" style="142" customWidth="1"/>
    <col min="9478" max="9478" width="14.7109375" style="142" customWidth="1"/>
    <col min="9479" max="9727" width="9.140625" style="142"/>
    <col min="9728" max="9728" width="16.85546875" style="142" customWidth="1"/>
    <col min="9729" max="9729" width="12.28515625" style="142" customWidth="1"/>
    <col min="9730" max="9730" width="42.5703125" style="142" customWidth="1"/>
    <col min="9731" max="9731" width="19.5703125" style="142" customWidth="1"/>
    <col min="9732" max="9732" width="13" style="142" bestFit="1" customWidth="1"/>
    <col min="9733" max="9733" width="16.28515625" style="142" customWidth="1"/>
    <col min="9734" max="9734" width="14.7109375" style="142" customWidth="1"/>
    <col min="9735" max="9983" width="9.140625" style="142"/>
    <col min="9984" max="9984" width="16.85546875" style="142" customWidth="1"/>
    <col min="9985" max="9985" width="12.28515625" style="142" customWidth="1"/>
    <col min="9986" max="9986" width="42.5703125" style="142" customWidth="1"/>
    <col min="9987" max="9987" width="19.5703125" style="142" customWidth="1"/>
    <col min="9988" max="9988" width="13" style="142" bestFit="1" customWidth="1"/>
    <col min="9989" max="9989" width="16.28515625" style="142" customWidth="1"/>
    <col min="9990" max="9990" width="14.7109375" style="142" customWidth="1"/>
    <col min="9991" max="10239" width="9.140625" style="142"/>
    <col min="10240" max="10240" width="16.85546875" style="142" customWidth="1"/>
    <col min="10241" max="10241" width="12.28515625" style="142" customWidth="1"/>
    <col min="10242" max="10242" width="42.5703125" style="142" customWidth="1"/>
    <col min="10243" max="10243" width="19.5703125" style="142" customWidth="1"/>
    <col min="10244" max="10244" width="13" style="142" bestFit="1" customWidth="1"/>
    <col min="10245" max="10245" width="16.28515625" style="142" customWidth="1"/>
    <col min="10246" max="10246" width="14.7109375" style="142" customWidth="1"/>
    <col min="10247" max="10495" width="9.140625" style="142"/>
    <col min="10496" max="10496" width="16.85546875" style="142" customWidth="1"/>
    <col min="10497" max="10497" width="12.28515625" style="142" customWidth="1"/>
    <col min="10498" max="10498" width="42.5703125" style="142" customWidth="1"/>
    <col min="10499" max="10499" width="19.5703125" style="142" customWidth="1"/>
    <col min="10500" max="10500" width="13" style="142" bestFit="1" customWidth="1"/>
    <col min="10501" max="10501" width="16.28515625" style="142" customWidth="1"/>
    <col min="10502" max="10502" width="14.7109375" style="142" customWidth="1"/>
    <col min="10503" max="10751" width="9.140625" style="142"/>
    <col min="10752" max="10752" width="16.85546875" style="142" customWidth="1"/>
    <col min="10753" max="10753" width="12.28515625" style="142" customWidth="1"/>
    <col min="10754" max="10754" width="42.5703125" style="142" customWidth="1"/>
    <col min="10755" max="10755" width="19.5703125" style="142" customWidth="1"/>
    <col min="10756" max="10756" width="13" style="142" bestFit="1" customWidth="1"/>
    <col min="10757" max="10757" width="16.28515625" style="142" customWidth="1"/>
    <col min="10758" max="10758" width="14.7109375" style="142" customWidth="1"/>
    <col min="10759" max="11007" width="9.140625" style="142"/>
    <col min="11008" max="11008" width="16.85546875" style="142" customWidth="1"/>
    <col min="11009" max="11009" width="12.28515625" style="142" customWidth="1"/>
    <col min="11010" max="11010" width="42.5703125" style="142" customWidth="1"/>
    <col min="11011" max="11011" width="19.5703125" style="142" customWidth="1"/>
    <col min="11012" max="11012" width="13" style="142" bestFit="1" customWidth="1"/>
    <col min="11013" max="11013" width="16.28515625" style="142" customWidth="1"/>
    <col min="11014" max="11014" width="14.7109375" style="142" customWidth="1"/>
    <col min="11015" max="11263" width="9.140625" style="142"/>
    <col min="11264" max="11264" width="16.85546875" style="142" customWidth="1"/>
    <col min="11265" max="11265" width="12.28515625" style="142" customWidth="1"/>
    <col min="11266" max="11266" width="42.5703125" style="142" customWidth="1"/>
    <col min="11267" max="11267" width="19.5703125" style="142" customWidth="1"/>
    <col min="11268" max="11268" width="13" style="142" bestFit="1" customWidth="1"/>
    <col min="11269" max="11269" width="16.28515625" style="142" customWidth="1"/>
    <col min="11270" max="11270" width="14.7109375" style="142" customWidth="1"/>
    <col min="11271" max="11519" width="9.140625" style="142"/>
    <col min="11520" max="11520" width="16.85546875" style="142" customWidth="1"/>
    <col min="11521" max="11521" width="12.28515625" style="142" customWidth="1"/>
    <col min="11522" max="11522" width="42.5703125" style="142" customWidth="1"/>
    <col min="11523" max="11523" width="19.5703125" style="142" customWidth="1"/>
    <col min="11524" max="11524" width="13" style="142" bestFit="1" customWidth="1"/>
    <col min="11525" max="11525" width="16.28515625" style="142" customWidth="1"/>
    <col min="11526" max="11526" width="14.7109375" style="142" customWidth="1"/>
    <col min="11527" max="11775" width="9.140625" style="142"/>
    <col min="11776" max="11776" width="16.85546875" style="142" customWidth="1"/>
    <col min="11777" max="11777" width="12.28515625" style="142" customWidth="1"/>
    <col min="11778" max="11778" width="42.5703125" style="142" customWidth="1"/>
    <col min="11779" max="11779" width="19.5703125" style="142" customWidth="1"/>
    <col min="11780" max="11780" width="13" style="142" bestFit="1" customWidth="1"/>
    <col min="11781" max="11781" width="16.28515625" style="142" customWidth="1"/>
    <col min="11782" max="11782" width="14.7109375" style="142" customWidth="1"/>
    <col min="11783" max="12031" width="9.140625" style="142"/>
    <col min="12032" max="12032" width="16.85546875" style="142" customWidth="1"/>
    <col min="12033" max="12033" width="12.28515625" style="142" customWidth="1"/>
    <col min="12034" max="12034" width="42.5703125" style="142" customWidth="1"/>
    <col min="12035" max="12035" width="19.5703125" style="142" customWidth="1"/>
    <col min="12036" max="12036" width="13" style="142" bestFit="1" customWidth="1"/>
    <col min="12037" max="12037" width="16.28515625" style="142" customWidth="1"/>
    <col min="12038" max="12038" width="14.7109375" style="142" customWidth="1"/>
    <col min="12039" max="12287" width="9.140625" style="142"/>
    <col min="12288" max="12288" width="16.85546875" style="142" customWidth="1"/>
    <col min="12289" max="12289" width="12.28515625" style="142" customWidth="1"/>
    <col min="12290" max="12290" width="42.5703125" style="142" customWidth="1"/>
    <col min="12291" max="12291" width="19.5703125" style="142" customWidth="1"/>
    <col min="12292" max="12292" width="13" style="142" bestFit="1" customWidth="1"/>
    <col min="12293" max="12293" width="16.28515625" style="142" customWidth="1"/>
    <col min="12294" max="12294" width="14.7109375" style="142" customWidth="1"/>
    <col min="12295" max="12543" width="9.140625" style="142"/>
    <col min="12544" max="12544" width="16.85546875" style="142" customWidth="1"/>
    <col min="12545" max="12545" width="12.28515625" style="142" customWidth="1"/>
    <col min="12546" max="12546" width="42.5703125" style="142" customWidth="1"/>
    <col min="12547" max="12547" width="19.5703125" style="142" customWidth="1"/>
    <col min="12548" max="12548" width="13" style="142" bestFit="1" customWidth="1"/>
    <col min="12549" max="12549" width="16.28515625" style="142" customWidth="1"/>
    <col min="12550" max="12550" width="14.7109375" style="142" customWidth="1"/>
    <col min="12551" max="12799" width="9.140625" style="142"/>
    <col min="12800" max="12800" width="16.85546875" style="142" customWidth="1"/>
    <col min="12801" max="12801" width="12.28515625" style="142" customWidth="1"/>
    <col min="12802" max="12802" width="42.5703125" style="142" customWidth="1"/>
    <col min="12803" max="12803" width="19.5703125" style="142" customWidth="1"/>
    <col min="12804" max="12804" width="13" style="142" bestFit="1" customWidth="1"/>
    <col min="12805" max="12805" width="16.28515625" style="142" customWidth="1"/>
    <col min="12806" max="12806" width="14.7109375" style="142" customWidth="1"/>
    <col min="12807" max="13055" width="9.140625" style="142"/>
    <col min="13056" max="13056" width="16.85546875" style="142" customWidth="1"/>
    <col min="13057" max="13057" width="12.28515625" style="142" customWidth="1"/>
    <col min="13058" max="13058" width="42.5703125" style="142" customWidth="1"/>
    <col min="13059" max="13059" width="19.5703125" style="142" customWidth="1"/>
    <col min="13060" max="13060" width="13" style="142" bestFit="1" customWidth="1"/>
    <col min="13061" max="13061" width="16.28515625" style="142" customWidth="1"/>
    <col min="13062" max="13062" width="14.7109375" style="142" customWidth="1"/>
    <col min="13063" max="13311" width="9.140625" style="142"/>
    <col min="13312" max="13312" width="16.85546875" style="142" customWidth="1"/>
    <col min="13313" max="13313" width="12.28515625" style="142" customWidth="1"/>
    <col min="13314" max="13314" width="42.5703125" style="142" customWidth="1"/>
    <col min="13315" max="13315" width="19.5703125" style="142" customWidth="1"/>
    <col min="13316" max="13316" width="13" style="142" bestFit="1" customWidth="1"/>
    <col min="13317" max="13317" width="16.28515625" style="142" customWidth="1"/>
    <col min="13318" max="13318" width="14.7109375" style="142" customWidth="1"/>
    <col min="13319" max="13567" width="9.140625" style="142"/>
    <col min="13568" max="13568" width="16.85546875" style="142" customWidth="1"/>
    <col min="13569" max="13569" width="12.28515625" style="142" customWidth="1"/>
    <col min="13570" max="13570" width="42.5703125" style="142" customWidth="1"/>
    <col min="13571" max="13571" width="19.5703125" style="142" customWidth="1"/>
    <col min="13572" max="13572" width="13" style="142" bestFit="1" customWidth="1"/>
    <col min="13573" max="13573" width="16.28515625" style="142" customWidth="1"/>
    <col min="13574" max="13574" width="14.7109375" style="142" customWidth="1"/>
    <col min="13575" max="13823" width="9.140625" style="142"/>
    <col min="13824" max="13824" width="16.85546875" style="142" customWidth="1"/>
    <col min="13825" max="13825" width="12.28515625" style="142" customWidth="1"/>
    <col min="13826" max="13826" width="42.5703125" style="142" customWidth="1"/>
    <col min="13827" max="13827" width="19.5703125" style="142" customWidth="1"/>
    <col min="13828" max="13828" width="13" style="142" bestFit="1" customWidth="1"/>
    <col min="13829" max="13829" width="16.28515625" style="142" customWidth="1"/>
    <col min="13830" max="13830" width="14.7109375" style="142" customWidth="1"/>
    <col min="13831" max="14079" width="9.140625" style="142"/>
    <col min="14080" max="14080" width="16.85546875" style="142" customWidth="1"/>
    <col min="14081" max="14081" width="12.28515625" style="142" customWidth="1"/>
    <col min="14082" max="14082" width="42.5703125" style="142" customWidth="1"/>
    <col min="14083" max="14083" width="19.5703125" style="142" customWidth="1"/>
    <col min="14084" max="14084" width="13" style="142" bestFit="1" customWidth="1"/>
    <col min="14085" max="14085" width="16.28515625" style="142" customWidth="1"/>
    <col min="14086" max="14086" width="14.7109375" style="142" customWidth="1"/>
    <col min="14087" max="14335" width="9.140625" style="142"/>
    <col min="14336" max="14336" width="16.85546875" style="142" customWidth="1"/>
    <col min="14337" max="14337" width="12.28515625" style="142" customWidth="1"/>
    <col min="14338" max="14338" width="42.5703125" style="142" customWidth="1"/>
    <col min="14339" max="14339" width="19.5703125" style="142" customWidth="1"/>
    <col min="14340" max="14340" width="13" style="142" bestFit="1" customWidth="1"/>
    <col min="14341" max="14341" width="16.28515625" style="142" customWidth="1"/>
    <col min="14342" max="14342" width="14.7109375" style="142" customWidth="1"/>
    <col min="14343" max="14591" width="9.140625" style="142"/>
    <col min="14592" max="14592" width="16.85546875" style="142" customWidth="1"/>
    <col min="14593" max="14593" width="12.28515625" style="142" customWidth="1"/>
    <col min="14594" max="14594" width="42.5703125" style="142" customWidth="1"/>
    <col min="14595" max="14595" width="19.5703125" style="142" customWidth="1"/>
    <col min="14596" max="14596" width="13" style="142" bestFit="1" customWidth="1"/>
    <col min="14597" max="14597" width="16.28515625" style="142" customWidth="1"/>
    <col min="14598" max="14598" width="14.7109375" style="142" customWidth="1"/>
    <col min="14599" max="14847" width="9.140625" style="142"/>
    <col min="14848" max="14848" width="16.85546875" style="142" customWidth="1"/>
    <col min="14849" max="14849" width="12.28515625" style="142" customWidth="1"/>
    <col min="14850" max="14850" width="42.5703125" style="142" customWidth="1"/>
    <col min="14851" max="14851" width="19.5703125" style="142" customWidth="1"/>
    <col min="14852" max="14852" width="13" style="142" bestFit="1" customWidth="1"/>
    <col min="14853" max="14853" width="16.28515625" style="142" customWidth="1"/>
    <col min="14854" max="14854" width="14.7109375" style="142" customWidth="1"/>
    <col min="14855" max="15103" width="9.140625" style="142"/>
    <col min="15104" max="15104" width="16.85546875" style="142" customWidth="1"/>
    <col min="15105" max="15105" width="12.28515625" style="142" customWidth="1"/>
    <col min="15106" max="15106" width="42.5703125" style="142" customWidth="1"/>
    <col min="15107" max="15107" width="19.5703125" style="142" customWidth="1"/>
    <col min="15108" max="15108" width="13" style="142" bestFit="1" customWidth="1"/>
    <col min="15109" max="15109" width="16.28515625" style="142" customWidth="1"/>
    <col min="15110" max="15110" width="14.7109375" style="142" customWidth="1"/>
    <col min="15111" max="15359" width="9.140625" style="142"/>
    <col min="15360" max="15360" width="16.85546875" style="142" customWidth="1"/>
    <col min="15361" max="15361" width="12.28515625" style="142" customWidth="1"/>
    <col min="15362" max="15362" width="42.5703125" style="142" customWidth="1"/>
    <col min="15363" max="15363" width="19.5703125" style="142" customWidth="1"/>
    <col min="15364" max="15364" width="13" style="142" bestFit="1" customWidth="1"/>
    <col min="15365" max="15365" width="16.28515625" style="142" customWidth="1"/>
    <col min="15366" max="15366" width="14.7109375" style="142" customWidth="1"/>
    <col min="15367" max="15615" width="9.140625" style="142"/>
    <col min="15616" max="15616" width="16.85546875" style="142" customWidth="1"/>
    <col min="15617" max="15617" width="12.28515625" style="142" customWidth="1"/>
    <col min="15618" max="15618" width="42.5703125" style="142" customWidth="1"/>
    <col min="15619" max="15619" width="19.5703125" style="142" customWidth="1"/>
    <col min="15620" max="15620" width="13" style="142" bestFit="1" customWidth="1"/>
    <col min="15621" max="15621" width="16.28515625" style="142" customWidth="1"/>
    <col min="15622" max="15622" width="14.7109375" style="142" customWidth="1"/>
    <col min="15623" max="15871" width="9.140625" style="142"/>
    <col min="15872" max="15872" width="16.85546875" style="142" customWidth="1"/>
    <col min="15873" max="15873" width="12.28515625" style="142" customWidth="1"/>
    <col min="15874" max="15874" width="42.5703125" style="142" customWidth="1"/>
    <col min="15875" max="15875" width="19.5703125" style="142" customWidth="1"/>
    <col min="15876" max="15876" width="13" style="142" bestFit="1" customWidth="1"/>
    <col min="15877" max="15877" width="16.28515625" style="142" customWidth="1"/>
    <col min="15878" max="15878" width="14.7109375" style="142" customWidth="1"/>
    <col min="15879" max="16127" width="9.140625" style="142"/>
    <col min="16128" max="16128" width="16.85546875" style="142" customWidth="1"/>
    <col min="16129" max="16129" width="12.28515625" style="142" customWidth="1"/>
    <col min="16130" max="16130" width="42.5703125" style="142" customWidth="1"/>
    <col min="16131" max="16131" width="19.5703125" style="142" customWidth="1"/>
    <col min="16132" max="16132" width="13" style="142" bestFit="1" customWidth="1"/>
    <col min="16133" max="16133" width="16.28515625" style="142" customWidth="1"/>
    <col min="16134" max="16134" width="14.7109375" style="142" customWidth="1"/>
    <col min="16135" max="16384" width="9.140625" style="142"/>
  </cols>
  <sheetData>
    <row r="1" spans="1:7" ht="5.0999999999999996" customHeight="1">
      <c r="A1" s="252"/>
      <c r="B1" s="253"/>
      <c r="C1" s="253"/>
      <c r="D1" s="253"/>
      <c r="E1" s="253"/>
      <c r="F1" s="253"/>
      <c r="G1" s="253"/>
    </row>
    <row r="2" spans="1:7" ht="12" customHeight="1">
      <c r="A2" s="254" t="s">
        <v>740</v>
      </c>
      <c r="B2" s="255"/>
      <c r="C2" s="255"/>
      <c r="D2" s="255"/>
      <c r="E2" s="255"/>
      <c r="F2" s="255"/>
      <c r="G2" s="255"/>
    </row>
    <row r="3" spans="1:7" ht="12" customHeight="1">
      <c r="A3" s="250" t="s">
        <v>741</v>
      </c>
      <c r="B3" s="251"/>
      <c r="C3" s="251"/>
      <c r="D3" s="251"/>
      <c r="E3" s="251"/>
      <c r="F3" s="251"/>
      <c r="G3" s="251"/>
    </row>
    <row r="4" spans="1:7" ht="12" customHeight="1">
      <c r="A4" s="256" t="s">
        <v>742</v>
      </c>
      <c r="B4" s="257"/>
      <c r="C4" s="257"/>
      <c r="D4" s="257"/>
      <c r="E4" s="257"/>
      <c r="F4" s="257"/>
      <c r="G4" s="257"/>
    </row>
    <row r="5" spans="1:7" ht="12" customHeight="1">
      <c r="A5" s="250" t="s">
        <v>15</v>
      </c>
      <c r="B5" s="251"/>
      <c r="C5" s="251"/>
      <c r="D5" s="251"/>
      <c r="E5" s="251"/>
      <c r="F5" s="251"/>
      <c r="G5" s="251"/>
    </row>
    <row r="6" spans="1:7" ht="12" customHeight="1">
      <c r="A6" s="250" t="s">
        <v>743</v>
      </c>
      <c r="B6" s="251"/>
      <c r="C6" s="251"/>
      <c r="D6" s="251"/>
      <c r="E6" s="251"/>
      <c r="F6" s="251"/>
      <c r="G6" s="251"/>
    </row>
    <row r="7" spans="1:7" ht="12" customHeight="1">
      <c r="A7" s="250" t="s">
        <v>744</v>
      </c>
      <c r="B7" s="251"/>
      <c r="C7" s="251"/>
      <c r="D7" s="251"/>
      <c r="E7" s="251"/>
      <c r="F7" s="251"/>
      <c r="G7" s="251"/>
    </row>
    <row r="8" spans="1:7" ht="5.0999999999999996" customHeight="1">
      <c r="A8" s="260"/>
      <c r="B8" s="261"/>
      <c r="C8" s="261"/>
      <c r="D8" s="261"/>
      <c r="E8" s="261"/>
      <c r="F8" s="261"/>
      <c r="G8" s="261"/>
    </row>
    <row r="9" spans="1:7" ht="12" customHeight="1">
      <c r="A9" s="196"/>
      <c r="B9" s="196"/>
      <c r="C9" s="196"/>
      <c r="D9" s="196"/>
      <c r="E9" s="196"/>
      <c r="F9" s="196"/>
      <c r="G9" s="196"/>
    </row>
    <row r="10" spans="1:7" ht="30" customHeight="1">
      <c r="A10" s="262" t="s">
        <v>863</v>
      </c>
      <c r="B10" s="262"/>
      <c r="C10" s="262"/>
      <c r="D10" s="263" t="s">
        <v>978</v>
      </c>
      <c r="E10" s="263"/>
      <c r="F10" s="263"/>
      <c r="G10" s="263"/>
    </row>
    <row r="11" spans="1:7">
      <c r="A11" s="264" t="s">
        <v>763</v>
      </c>
      <c r="B11" s="265"/>
      <c r="C11" s="265"/>
      <c r="D11" s="265"/>
      <c r="E11" s="265"/>
      <c r="F11" s="265"/>
      <c r="G11" s="266"/>
    </row>
    <row r="12" spans="1:7" ht="6" customHeight="1">
      <c r="A12" s="267"/>
      <c r="B12" s="267"/>
      <c r="C12" s="267"/>
      <c r="D12" s="267"/>
      <c r="E12" s="143"/>
      <c r="F12" s="197"/>
      <c r="G12" s="197"/>
    </row>
    <row r="13" spans="1:7" ht="3.95" customHeight="1">
      <c r="A13" s="268" t="s">
        <v>1053</v>
      </c>
      <c r="B13" s="268"/>
      <c r="C13" s="268"/>
      <c r="D13" s="268"/>
      <c r="E13" s="268"/>
      <c r="F13" s="268"/>
      <c r="G13" s="268"/>
    </row>
    <row r="14" spans="1:7" ht="3.95" customHeight="1">
      <c r="A14" s="268"/>
      <c r="B14" s="268"/>
      <c r="C14" s="268"/>
      <c r="D14" s="268"/>
      <c r="E14" s="268"/>
      <c r="F14" s="268"/>
      <c r="G14" s="268"/>
    </row>
    <row r="15" spans="1:7" ht="3.95" customHeight="1">
      <c r="A15" s="268"/>
      <c r="B15" s="268"/>
      <c r="C15" s="268"/>
      <c r="D15" s="268"/>
      <c r="E15" s="268"/>
      <c r="F15" s="268"/>
      <c r="G15" s="268"/>
    </row>
    <row r="16" spans="1:7" ht="12" customHeight="1">
      <c r="A16" s="269" t="s">
        <v>1071</v>
      </c>
      <c r="B16" s="269"/>
      <c r="C16" s="269"/>
      <c r="D16" s="269"/>
      <c r="E16" s="269"/>
      <c r="F16" s="269"/>
      <c r="G16" s="269"/>
    </row>
    <row r="17" spans="1:9" ht="15.75" customHeight="1">
      <c r="A17" s="270" t="s">
        <v>745</v>
      </c>
      <c r="B17" s="271"/>
      <c r="C17" s="271"/>
      <c r="D17" s="271"/>
      <c r="E17" s="271"/>
      <c r="F17" s="271"/>
      <c r="G17" s="271"/>
    </row>
    <row r="18" spans="1:9" ht="31.5">
      <c r="A18" s="199" t="s">
        <v>746</v>
      </c>
      <c r="B18" s="198" t="s">
        <v>747</v>
      </c>
      <c r="C18" s="198" t="s">
        <v>748</v>
      </c>
      <c r="D18" s="198" t="s">
        <v>749</v>
      </c>
      <c r="E18" s="198" t="s">
        <v>750</v>
      </c>
      <c r="F18" s="144" t="s">
        <v>751</v>
      </c>
      <c r="G18" s="144" t="s">
        <v>752</v>
      </c>
    </row>
    <row r="19" spans="1:9">
      <c r="A19" s="145" t="s">
        <v>1059</v>
      </c>
      <c r="B19" s="146" t="s">
        <v>1058</v>
      </c>
      <c r="C19" s="147" t="s">
        <v>1055</v>
      </c>
      <c r="D19" s="148" t="s">
        <v>753</v>
      </c>
      <c r="E19" s="149">
        <v>1</v>
      </c>
      <c r="F19" s="150">
        <v>12.44</v>
      </c>
      <c r="G19" s="151">
        <f>ROUNDUP(E19*F19,2)</f>
        <v>12.44</v>
      </c>
      <c r="I19" s="182"/>
    </row>
    <row r="20" spans="1:9">
      <c r="A20" s="145" t="s">
        <v>1060</v>
      </c>
      <c r="B20" s="146" t="s">
        <v>1058</v>
      </c>
      <c r="C20" s="147" t="s">
        <v>1056</v>
      </c>
      <c r="D20" s="148" t="s">
        <v>753</v>
      </c>
      <c r="E20" s="149">
        <v>1</v>
      </c>
      <c r="F20" s="150">
        <v>8.5299999999999994</v>
      </c>
      <c r="G20" s="151">
        <f>ROUNDUP(E20*F20,2)</f>
        <v>8.5299999999999994</v>
      </c>
      <c r="I20" s="182"/>
    </row>
    <row r="21" spans="1:9">
      <c r="A21" s="145" t="s">
        <v>1061</v>
      </c>
      <c r="B21" s="146" t="s">
        <v>1058</v>
      </c>
      <c r="C21" s="147" t="s">
        <v>1057</v>
      </c>
      <c r="D21" s="148" t="s">
        <v>753</v>
      </c>
      <c r="E21" s="149">
        <v>1</v>
      </c>
      <c r="F21" s="150">
        <v>8.5299999999999994</v>
      </c>
      <c r="G21" s="151">
        <f>ROUNDUP(E21*F21,2)</f>
        <v>8.5299999999999994</v>
      </c>
      <c r="I21" s="182"/>
    </row>
    <row r="22" spans="1:9">
      <c r="A22" s="272" t="s">
        <v>754</v>
      </c>
      <c r="B22" s="273"/>
      <c r="C22" s="273"/>
      <c r="D22" s="273"/>
      <c r="E22" s="273"/>
      <c r="F22" s="273"/>
      <c r="G22" s="152">
        <f>SUM(G19:G21)</f>
        <v>29.5</v>
      </c>
    </row>
    <row r="23" spans="1:9" ht="5.0999999999999996" customHeight="1">
      <c r="A23" s="153"/>
      <c r="B23" s="154"/>
      <c r="C23" s="154"/>
      <c r="D23" s="155"/>
      <c r="E23" s="155"/>
      <c r="F23" s="154"/>
      <c r="G23" s="156"/>
    </row>
    <row r="24" spans="1:9">
      <c r="A24" s="270" t="s">
        <v>755</v>
      </c>
      <c r="B24" s="271"/>
      <c r="C24" s="271"/>
      <c r="D24" s="271"/>
      <c r="E24" s="271"/>
      <c r="F24" s="271"/>
      <c r="G24" s="274"/>
    </row>
    <row r="25" spans="1:9" ht="31.5">
      <c r="A25" s="258" t="s">
        <v>747</v>
      </c>
      <c r="B25" s="259"/>
      <c r="C25" s="198" t="s">
        <v>748</v>
      </c>
      <c r="D25" s="198" t="s">
        <v>749</v>
      </c>
      <c r="E25" s="198" t="s">
        <v>750</v>
      </c>
      <c r="F25" s="144" t="s">
        <v>751</v>
      </c>
      <c r="G25" s="144" t="s">
        <v>752</v>
      </c>
    </row>
    <row r="26" spans="1:9" ht="31.5">
      <c r="A26" s="179">
        <v>65601</v>
      </c>
      <c r="B26" s="148" t="s">
        <v>1063</v>
      </c>
      <c r="C26" s="180" t="s">
        <v>1064</v>
      </c>
      <c r="D26" s="148" t="s">
        <v>29</v>
      </c>
      <c r="E26" s="149">
        <v>1</v>
      </c>
      <c r="F26" s="151">
        <v>2383.13</v>
      </c>
      <c r="G26" s="151">
        <f>ROUNDDOWN(E26*F26,2)</f>
        <v>2383.13</v>
      </c>
      <c r="H26" s="157"/>
      <c r="I26" s="182"/>
    </row>
    <row r="27" spans="1:9">
      <c r="A27" s="179">
        <v>66019</v>
      </c>
      <c r="B27" s="148" t="s">
        <v>1063</v>
      </c>
      <c r="C27" s="180" t="s">
        <v>1068</v>
      </c>
      <c r="D27" s="148" t="s">
        <v>29</v>
      </c>
      <c r="E27" s="149">
        <v>1</v>
      </c>
      <c r="F27" s="151">
        <v>551.05999999999995</v>
      </c>
      <c r="G27" s="151">
        <f t="shared" ref="G27:G28" si="0">ROUNDDOWN(E27*F27,2)</f>
        <v>551.05999999999995</v>
      </c>
      <c r="H27" s="157"/>
      <c r="I27" s="182"/>
    </row>
    <row r="28" spans="1:9">
      <c r="A28" s="179">
        <v>66002</v>
      </c>
      <c r="B28" s="148" t="s">
        <v>1063</v>
      </c>
      <c r="C28" s="180" t="s">
        <v>1065</v>
      </c>
      <c r="D28" s="148" t="s">
        <v>29</v>
      </c>
      <c r="E28" s="149">
        <v>1</v>
      </c>
      <c r="F28" s="151">
        <v>33</v>
      </c>
      <c r="G28" s="151">
        <f t="shared" si="0"/>
        <v>33</v>
      </c>
      <c r="H28" s="157"/>
      <c r="I28" s="182"/>
    </row>
    <row r="29" spans="1:9">
      <c r="A29" s="179">
        <v>64045</v>
      </c>
      <c r="B29" s="148" t="s">
        <v>1063</v>
      </c>
      <c r="C29" s="180" t="s">
        <v>1066</v>
      </c>
      <c r="D29" s="148" t="s">
        <v>29</v>
      </c>
      <c r="E29" s="149">
        <v>1</v>
      </c>
      <c r="F29" s="151">
        <v>50.63</v>
      </c>
      <c r="G29" s="151">
        <f t="shared" ref="G29:G30" si="1">ROUNDDOWN(E29*F29,2)</f>
        <v>50.63</v>
      </c>
      <c r="H29" s="157"/>
      <c r="I29" s="182"/>
    </row>
    <row r="30" spans="1:9">
      <c r="A30" s="179">
        <v>64513</v>
      </c>
      <c r="B30" s="148" t="s">
        <v>1063</v>
      </c>
      <c r="C30" s="180" t="s">
        <v>1067</v>
      </c>
      <c r="D30" s="148" t="s">
        <v>29</v>
      </c>
      <c r="E30" s="149">
        <v>1</v>
      </c>
      <c r="F30" s="151">
        <v>174.34</v>
      </c>
      <c r="G30" s="151">
        <f t="shared" si="1"/>
        <v>174.34</v>
      </c>
      <c r="H30" s="157"/>
      <c r="I30" s="182"/>
    </row>
    <row r="31" spans="1:9">
      <c r="A31" s="272" t="s">
        <v>756</v>
      </c>
      <c r="B31" s="273"/>
      <c r="C31" s="273"/>
      <c r="D31" s="273"/>
      <c r="E31" s="273"/>
      <c r="F31" s="273"/>
      <c r="G31" s="158">
        <f>ROUNDDOWN(SUM(G26:G30),2)</f>
        <v>3192.16</v>
      </c>
    </row>
    <row r="32" spans="1:9" ht="12.95" customHeight="1">
      <c r="C32" s="200"/>
      <c r="D32" s="277" t="s">
        <v>757</v>
      </c>
      <c r="E32" s="278"/>
      <c r="F32" s="279"/>
      <c r="G32" s="159">
        <f>G22</f>
        <v>29.5</v>
      </c>
    </row>
    <row r="33" spans="1:8" ht="12.95" customHeight="1">
      <c r="C33" s="200"/>
      <c r="D33" s="280" t="s">
        <v>1062</v>
      </c>
      <c r="E33" s="281"/>
      <c r="F33" s="282"/>
      <c r="G33" s="160">
        <v>0.9778</v>
      </c>
      <c r="H33" s="161"/>
    </row>
    <row r="34" spans="1:8" ht="12.95" customHeight="1">
      <c r="C34" s="200"/>
      <c r="D34" s="283" t="s">
        <v>758</v>
      </c>
      <c r="E34" s="284"/>
      <c r="F34" s="285"/>
      <c r="G34" s="150">
        <f>ROUNDUP(G32+G32*G33,2)</f>
        <v>58.35</v>
      </c>
    </row>
    <row r="35" spans="1:8" ht="12.95" customHeight="1">
      <c r="C35" s="200"/>
      <c r="D35" s="283" t="s">
        <v>759</v>
      </c>
      <c r="E35" s="284"/>
      <c r="F35" s="285"/>
      <c r="G35" s="159">
        <f>G31</f>
        <v>3192.16</v>
      </c>
    </row>
    <row r="36" spans="1:8" ht="12.95" customHeight="1">
      <c r="C36" s="200"/>
      <c r="D36" s="270" t="s">
        <v>1054</v>
      </c>
      <c r="E36" s="271"/>
      <c r="F36" s="274"/>
      <c r="G36" s="168">
        <f>G34+G35</f>
        <v>3250.5099999999998</v>
      </c>
    </row>
    <row r="37" spans="1:8" s="162" customFormat="1">
      <c r="C37" s="163"/>
      <c r="D37" s="164"/>
      <c r="E37" s="164"/>
      <c r="F37" s="164"/>
      <c r="G37" s="165"/>
    </row>
    <row r="38" spans="1:8">
      <c r="A38" s="275" t="s">
        <v>940</v>
      </c>
      <c r="B38" s="275"/>
      <c r="C38" s="275"/>
      <c r="D38" s="275"/>
      <c r="E38" s="275"/>
      <c r="F38" s="275"/>
      <c r="G38" s="275"/>
    </row>
    <row r="39" spans="1:8">
      <c r="A39" s="275" t="s">
        <v>760</v>
      </c>
      <c r="B39" s="275"/>
      <c r="C39" s="275"/>
      <c r="D39" s="275"/>
      <c r="E39" s="275"/>
      <c r="F39" s="275"/>
      <c r="G39" s="275"/>
    </row>
    <row r="40" spans="1:8">
      <c r="A40" s="276" t="s">
        <v>761</v>
      </c>
      <c r="B40" s="275"/>
      <c r="C40" s="275"/>
      <c r="D40" s="275"/>
      <c r="E40" s="275"/>
      <c r="F40" s="275"/>
      <c r="G40" s="275"/>
    </row>
    <row r="41" spans="1:8">
      <c r="A41" s="275" t="s">
        <v>762</v>
      </c>
      <c r="B41" s="275"/>
      <c r="C41" s="275"/>
      <c r="D41" s="275"/>
      <c r="E41" s="275"/>
      <c r="F41" s="275"/>
      <c r="G41" s="275"/>
    </row>
  </sheetData>
  <mergeCells count="28">
    <mergeCell ref="A38:G38"/>
    <mergeCell ref="A39:G39"/>
    <mergeCell ref="A40:G40"/>
    <mergeCell ref="A41:G41"/>
    <mergeCell ref="A31:F31"/>
    <mergeCell ref="D32:F32"/>
    <mergeCell ref="D33:F33"/>
    <mergeCell ref="D34:F34"/>
    <mergeCell ref="D35:F35"/>
    <mergeCell ref="D36:F36"/>
    <mergeCell ref="A25:B25"/>
    <mergeCell ref="A7:G7"/>
    <mergeCell ref="A8:G8"/>
    <mergeCell ref="A10:C10"/>
    <mergeCell ref="D10:G10"/>
    <mergeCell ref="A11:G11"/>
    <mergeCell ref="A12:D12"/>
    <mergeCell ref="A13:G15"/>
    <mergeCell ref="A16:G16"/>
    <mergeCell ref="A17:G17"/>
    <mergeCell ref="A22:F22"/>
    <mergeCell ref="A24:G24"/>
    <mergeCell ref="A6:G6"/>
    <mergeCell ref="A1:G1"/>
    <mergeCell ref="A2:G2"/>
    <mergeCell ref="A3:G3"/>
    <mergeCell ref="A4:G4"/>
    <mergeCell ref="A5:G5"/>
  </mergeCells>
  <pageMargins left="0.511811024" right="0.511811024" top="0.78740157499999996" bottom="0.78740157499999996" header="0.31496062000000002" footer="0.31496062000000002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workbookViewId="0">
      <selection sqref="A1:G1"/>
    </sheetView>
  </sheetViews>
  <sheetFormatPr defaultRowHeight="15.75"/>
  <cols>
    <col min="1" max="1" width="14.42578125" style="142" customWidth="1"/>
    <col min="2" max="2" width="10.5703125" style="142" customWidth="1"/>
    <col min="3" max="3" width="42.140625" style="142" customWidth="1"/>
    <col min="4" max="4" width="19.85546875" style="166" bestFit="1" customWidth="1"/>
    <col min="5" max="5" width="15.7109375" style="166" customWidth="1"/>
    <col min="6" max="6" width="18" style="142" customWidth="1"/>
    <col min="7" max="7" width="14.7109375" style="167" customWidth="1"/>
    <col min="8" max="8" width="14.5703125" style="142" bestFit="1" customWidth="1"/>
    <col min="9" max="9" width="12.7109375" style="142" bestFit="1" customWidth="1"/>
    <col min="10" max="255" width="9.140625" style="142"/>
    <col min="256" max="256" width="16.85546875" style="142" customWidth="1"/>
    <col min="257" max="257" width="12.28515625" style="142" customWidth="1"/>
    <col min="258" max="258" width="42.5703125" style="142" customWidth="1"/>
    <col min="259" max="259" width="19.5703125" style="142" customWidth="1"/>
    <col min="260" max="260" width="13" style="142" bestFit="1" customWidth="1"/>
    <col min="261" max="261" width="16.28515625" style="142" customWidth="1"/>
    <col min="262" max="262" width="14.7109375" style="142" customWidth="1"/>
    <col min="263" max="511" width="9.140625" style="142"/>
    <col min="512" max="512" width="16.85546875" style="142" customWidth="1"/>
    <col min="513" max="513" width="12.28515625" style="142" customWidth="1"/>
    <col min="514" max="514" width="42.5703125" style="142" customWidth="1"/>
    <col min="515" max="515" width="19.5703125" style="142" customWidth="1"/>
    <col min="516" max="516" width="13" style="142" bestFit="1" customWidth="1"/>
    <col min="517" max="517" width="16.28515625" style="142" customWidth="1"/>
    <col min="518" max="518" width="14.7109375" style="142" customWidth="1"/>
    <col min="519" max="767" width="9.140625" style="142"/>
    <col min="768" max="768" width="16.85546875" style="142" customWidth="1"/>
    <col min="769" max="769" width="12.28515625" style="142" customWidth="1"/>
    <col min="770" max="770" width="42.5703125" style="142" customWidth="1"/>
    <col min="771" max="771" width="19.5703125" style="142" customWidth="1"/>
    <col min="772" max="772" width="13" style="142" bestFit="1" customWidth="1"/>
    <col min="773" max="773" width="16.28515625" style="142" customWidth="1"/>
    <col min="774" max="774" width="14.7109375" style="142" customWidth="1"/>
    <col min="775" max="1023" width="9.140625" style="142"/>
    <col min="1024" max="1024" width="16.85546875" style="142" customWidth="1"/>
    <col min="1025" max="1025" width="12.28515625" style="142" customWidth="1"/>
    <col min="1026" max="1026" width="42.5703125" style="142" customWidth="1"/>
    <col min="1027" max="1027" width="19.5703125" style="142" customWidth="1"/>
    <col min="1028" max="1028" width="13" style="142" bestFit="1" customWidth="1"/>
    <col min="1029" max="1029" width="16.28515625" style="142" customWidth="1"/>
    <col min="1030" max="1030" width="14.7109375" style="142" customWidth="1"/>
    <col min="1031" max="1279" width="9.140625" style="142"/>
    <col min="1280" max="1280" width="16.85546875" style="142" customWidth="1"/>
    <col min="1281" max="1281" width="12.28515625" style="142" customWidth="1"/>
    <col min="1282" max="1282" width="42.5703125" style="142" customWidth="1"/>
    <col min="1283" max="1283" width="19.5703125" style="142" customWidth="1"/>
    <col min="1284" max="1284" width="13" style="142" bestFit="1" customWidth="1"/>
    <col min="1285" max="1285" width="16.28515625" style="142" customWidth="1"/>
    <col min="1286" max="1286" width="14.7109375" style="142" customWidth="1"/>
    <col min="1287" max="1535" width="9.140625" style="142"/>
    <col min="1536" max="1536" width="16.85546875" style="142" customWidth="1"/>
    <col min="1537" max="1537" width="12.28515625" style="142" customWidth="1"/>
    <col min="1538" max="1538" width="42.5703125" style="142" customWidth="1"/>
    <col min="1539" max="1539" width="19.5703125" style="142" customWidth="1"/>
    <col min="1540" max="1540" width="13" style="142" bestFit="1" customWidth="1"/>
    <col min="1541" max="1541" width="16.28515625" style="142" customWidth="1"/>
    <col min="1542" max="1542" width="14.7109375" style="142" customWidth="1"/>
    <col min="1543" max="1791" width="9.140625" style="142"/>
    <col min="1792" max="1792" width="16.85546875" style="142" customWidth="1"/>
    <col min="1793" max="1793" width="12.28515625" style="142" customWidth="1"/>
    <col min="1794" max="1794" width="42.5703125" style="142" customWidth="1"/>
    <col min="1795" max="1795" width="19.5703125" style="142" customWidth="1"/>
    <col min="1796" max="1796" width="13" style="142" bestFit="1" customWidth="1"/>
    <col min="1797" max="1797" width="16.28515625" style="142" customWidth="1"/>
    <col min="1798" max="1798" width="14.7109375" style="142" customWidth="1"/>
    <col min="1799" max="2047" width="9.140625" style="142"/>
    <col min="2048" max="2048" width="16.85546875" style="142" customWidth="1"/>
    <col min="2049" max="2049" width="12.28515625" style="142" customWidth="1"/>
    <col min="2050" max="2050" width="42.5703125" style="142" customWidth="1"/>
    <col min="2051" max="2051" width="19.5703125" style="142" customWidth="1"/>
    <col min="2052" max="2052" width="13" style="142" bestFit="1" customWidth="1"/>
    <col min="2053" max="2053" width="16.28515625" style="142" customWidth="1"/>
    <col min="2054" max="2054" width="14.7109375" style="142" customWidth="1"/>
    <col min="2055" max="2303" width="9.140625" style="142"/>
    <col min="2304" max="2304" width="16.85546875" style="142" customWidth="1"/>
    <col min="2305" max="2305" width="12.28515625" style="142" customWidth="1"/>
    <col min="2306" max="2306" width="42.5703125" style="142" customWidth="1"/>
    <col min="2307" max="2307" width="19.5703125" style="142" customWidth="1"/>
    <col min="2308" max="2308" width="13" style="142" bestFit="1" customWidth="1"/>
    <col min="2309" max="2309" width="16.28515625" style="142" customWidth="1"/>
    <col min="2310" max="2310" width="14.7109375" style="142" customWidth="1"/>
    <col min="2311" max="2559" width="9.140625" style="142"/>
    <col min="2560" max="2560" width="16.85546875" style="142" customWidth="1"/>
    <col min="2561" max="2561" width="12.28515625" style="142" customWidth="1"/>
    <col min="2562" max="2562" width="42.5703125" style="142" customWidth="1"/>
    <col min="2563" max="2563" width="19.5703125" style="142" customWidth="1"/>
    <col min="2564" max="2564" width="13" style="142" bestFit="1" customWidth="1"/>
    <col min="2565" max="2565" width="16.28515625" style="142" customWidth="1"/>
    <col min="2566" max="2566" width="14.7109375" style="142" customWidth="1"/>
    <col min="2567" max="2815" width="9.140625" style="142"/>
    <col min="2816" max="2816" width="16.85546875" style="142" customWidth="1"/>
    <col min="2817" max="2817" width="12.28515625" style="142" customWidth="1"/>
    <col min="2818" max="2818" width="42.5703125" style="142" customWidth="1"/>
    <col min="2819" max="2819" width="19.5703125" style="142" customWidth="1"/>
    <col min="2820" max="2820" width="13" style="142" bestFit="1" customWidth="1"/>
    <col min="2821" max="2821" width="16.28515625" style="142" customWidth="1"/>
    <col min="2822" max="2822" width="14.7109375" style="142" customWidth="1"/>
    <col min="2823" max="3071" width="9.140625" style="142"/>
    <col min="3072" max="3072" width="16.85546875" style="142" customWidth="1"/>
    <col min="3073" max="3073" width="12.28515625" style="142" customWidth="1"/>
    <col min="3074" max="3074" width="42.5703125" style="142" customWidth="1"/>
    <col min="3075" max="3075" width="19.5703125" style="142" customWidth="1"/>
    <col min="3076" max="3076" width="13" style="142" bestFit="1" customWidth="1"/>
    <col min="3077" max="3077" width="16.28515625" style="142" customWidth="1"/>
    <col min="3078" max="3078" width="14.7109375" style="142" customWidth="1"/>
    <col min="3079" max="3327" width="9.140625" style="142"/>
    <col min="3328" max="3328" width="16.85546875" style="142" customWidth="1"/>
    <col min="3329" max="3329" width="12.28515625" style="142" customWidth="1"/>
    <col min="3330" max="3330" width="42.5703125" style="142" customWidth="1"/>
    <col min="3331" max="3331" width="19.5703125" style="142" customWidth="1"/>
    <col min="3332" max="3332" width="13" style="142" bestFit="1" customWidth="1"/>
    <col min="3333" max="3333" width="16.28515625" style="142" customWidth="1"/>
    <col min="3334" max="3334" width="14.7109375" style="142" customWidth="1"/>
    <col min="3335" max="3583" width="9.140625" style="142"/>
    <col min="3584" max="3584" width="16.85546875" style="142" customWidth="1"/>
    <col min="3585" max="3585" width="12.28515625" style="142" customWidth="1"/>
    <col min="3586" max="3586" width="42.5703125" style="142" customWidth="1"/>
    <col min="3587" max="3587" width="19.5703125" style="142" customWidth="1"/>
    <col min="3588" max="3588" width="13" style="142" bestFit="1" customWidth="1"/>
    <col min="3589" max="3589" width="16.28515625" style="142" customWidth="1"/>
    <col min="3590" max="3590" width="14.7109375" style="142" customWidth="1"/>
    <col min="3591" max="3839" width="9.140625" style="142"/>
    <col min="3840" max="3840" width="16.85546875" style="142" customWidth="1"/>
    <col min="3841" max="3841" width="12.28515625" style="142" customWidth="1"/>
    <col min="3842" max="3842" width="42.5703125" style="142" customWidth="1"/>
    <col min="3843" max="3843" width="19.5703125" style="142" customWidth="1"/>
    <col min="3844" max="3844" width="13" style="142" bestFit="1" customWidth="1"/>
    <col min="3845" max="3845" width="16.28515625" style="142" customWidth="1"/>
    <col min="3846" max="3846" width="14.7109375" style="142" customWidth="1"/>
    <col min="3847" max="4095" width="9.140625" style="142"/>
    <col min="4096" max="4096" width="16.85546875" style="142" customWidth="1"/>
    <col min="4097" max="4097" width="12.28515625" style="142" customWidth="1"/>
    <col min="4098" max="4098" width="42.5703125" style="142" customWidth="1"/>
    <col min="4099" max="4099" width="19.5703125" style="142" customWidth="1"/>
    <col min="4100" max="4100" width="13" style="142" bestFit="1" customWidth="1"/>
    <col min="4101" max="4101" width="16.28515625" style="142" customWidth="1"/>
    <col min="4102" max="4102" width="14.7109375" style="142" customWidth="1"/>
    <col min="4103" max="4351" width="9.140625" style="142"/>
    <col min="4352" max="4352" width="16.85546875" style="142" customWidth="1"/>
    <col min="4353" max="4353" width="12.28515625" style="142" customWidth="1"/>
    <col min="4354" max="4354" width="42.5703125" style="142" customWidth="1"/>
    <col min="4355" max="4355" width="19.5703125" style="142" customWidth="1"/>
    <col min="4356" max="4356" width="13" style="142" bestFit="1" customWidth="1"/>
    <col min="4357" max="4357" width="16.28515625" style="142" customWidth="1"/>
    <col min="4358" max="4358" width="14.7109375" style="142" customWidth="1"/>
    <col min="4359" max="4607" width="9.140625" style="142"/>
    <col min="4608" max="4608" width="16.85546875" style="142" customWidth="1"/>
    <col min="4609" max="4609" width="12.28515625" style="142" customWidth="1"/>
    <col min="4610" max="4610" width="42.5703125" style="142" customWidth="1"/>
    <col min="4611" max="4611" width="19.5703125" style="142" customWidth="1"/>
    <col min="4612" max="4612" width="13" style="142" bestFit="1" customWidth="1"/>
    <col min="4613" max="4613" width="16.28515625" style="142" customWidth="1"/>
    <col min="4614" max="4614" width="14.7109375" style="142" customWidth="1"/>
    <col min="4615" max="4863" width="9.140625" style="142"/>
    <col min="4864" max="4864" width="16.85546875" style="142" customWidth="1"/>
    <col min="4865" max="4865" width="12.28515625" style="142" customWidth="1"/>
    <col min="4866" max="4866" width="42.5703125" style="142" customWidth="1"/>
    <col min="4867" max="4867" width="19.5703125" style="142" customWidth="1"/>
    <col min="4868" max="4868" width="13" style="142" bestFit="1" customWidth="1"/>
    <col min="4869" max="4869" width="16.28515625" style="142" customWidth="1"/>
    <col min="4870" max="4870" width="14.7109375" style="142" customWidth="1"/>
    <col min="4871" max="5119" width="9.140625" style="142"/>
    <col min="5120" max="5120" width="16.85546875" style="142" customWidth="1"/>
    <col min="5121" max="5121" width="12.28515625" style="142" customWidth="1"/>
    <col min="5122" max="5122" width="42.5703125" style="142" customWidth="1"/>
    <col min="5123" max="5123" width="19.5703125" style="142" customWidth="1"/>
    <col min="5124" max="5124" width="13" style="142" bestFit="1" customWidth="1"/>
    <col min="5125" max="5125" width="16.28515625" style="142" customWidth="1"/>
    <col min="5126" max="5126" width="14.7109375" style="142" customWidth="1"/>
    <col min="5127" max="5375" width="9.140625" style="142"/>
    <col min="5376" max="5376" width="16.85546875" style="142" customWidth="1"/>
    <col min="5377" max="5377" width="12.28515625" style="142" customWidth="1"/>
    <col min="5378" max="5378" width="42.5703125" style="142" customWidth="1"/>
    <col min="5379" max="5379" width="19.5703125" style="142" customWidth="1"/>
    <col min="5380" max="5380" width="13" style="142" bestFit="1" customWidth="1"/>
    <col min="5381" max="5381" width="16.28515625" style="142" customWidth="1"/>
    <col min="5382" max="5382" width="14.7109375" style="142" customWidth="1"/>
    <col min="5383" max="5631" width="9.140625" style="142"/>
    <col min="5632" max="5632" width="16.85546875" style="142" customWidth="1"/>
    <col min="5633" max="5633" width="12.28515625" style="142" customWidth="1"/>
    <col min="5634" max="5634" width="42.5703125" style="142" customWidth="1"/>
    <col min="5635" max="5635" width="19.5703125" style="142" customWidth="1"/>
    <col min="5636" max="5636" width="13" style="142" bestFit="1" customWidth="1"/>
    <col min="5637" max="5637" width="16.28515625" style="142" customWidth="1"/>
    <col min="5638" max="5638" width="14.7109375" style="142" customWidth="1"/>
    <col min="5639" max="5887" width="9.140625" style="142"/>
    <col min="5888" max="5888" width="16.85546875" style="142" customWidth="1"/>
    <col min="5889" max="5889" width="12.28515625" style="142" customWidth="1"/>
    <col min="5890" max="5890" width="42.5703125" style="142" customWidth="1"/>
    <col min="5891" max="5891" width="19.5703125" style="142" customWidth="1"/>
    <col min="5892" max="5892" width="13" style="142" bestFit="1" customWidth="1"/>
    <col min="5893" max="5893" width="16.28515625" style="142" customWidth="1"/>
    <col min="5894" max="5894" width="14.7109375" style="142" customWidth="1"/>
    <col min="5895" max="6143" width="9.140625" style="142"/>
    <col min="6144" max="6144" width="16.85546875" style="142" customWidth="1"/>
    <col min="6145" max="6145" width="12.28515625" style="142" customWidth="1"/>
    <col min="6146" max="6146" width="42.5703125" style="142" customWidth="1"/>
    <col min="6147" max="6147" width="19.5703125" style="142" customWidth="1"/>
    <col min="6148" max="6148" width="13" style="142" bestFit="1" customWidth="1"/>
    <col min="6149" max="6149" width="16.28515625" style="142" customWidth="1"/>
    <col min="6150" max="6150" width="14.7109375" style="142" customWidth="1"/>
    <col min="6151" max="6399" width="9.140625" style="142"/>
    <col min="6400" max="6400" width="16.85546875" style="142" customWidth="1"/>
    <col min="6401" max="6401" width="12.28515625" style="142" customWidth="1"/>
    <col min="6402" max="6402" width="42.5703125" style="142" customWidth="1"/>
    <col min="6403" max="6403" width="19.5703125" style="142" customWidth="1"/>
    <col min="6404" max="6404" width="13" style="142" bestFit="1" customWidth="1"/>
    <col min="6405" max="6405" width="16.28515625" style="142" customWidth="1"/>
    <col min="6406" max="6406" width="14.7109375" style="142" customWidth="1"/>
    <col min="6407" max="6655" width="9.140625" style="142"/>
    <col min="6656" max="6656" width="16.85546875" style="142" customWidth="1"/>
    <col min="6657" max="6657" width="12.28515625" style="142" customWidth="1"/>
    <col min="6658" max="6658" width="42.5703125" style="142" customWidth="1"/>
    <col min="6659" max="6659" width="19.5703125" style="142" customWidth="1"/>
    <col min="6660" max="6660" width="13" style="142" bestFit="1" customWidth="1"/>
    <col min="6661" max="6661" width="16.28515625" style="142" customWidth="1"/>
    <col min="6662" max="6662" width="14.7109375" style="142" customWidth="1"/>
    <col min="6663" max="6911" width="9.140625" style="142"/>
    <col min="6912" max="6912" width="16.85546875" style="142" customWidth="1"/>
    <col min="6913" max="6913" width="12.28515625" style="142" customWidth="1"/>
    <col min="6914" max="6914" width="42.5703125" style="142" customWidth="1"/>
    <col min="6915" max="6915" width="19.5703125" style="142" customWidth="1"/>
    <col min="6916" max="6916" width="13" style="142" bestFit="1" customWidth="1"/>
    <col min="6917" max="6917" width="16.28515625" style="142" customWidth="1"/>
    <col min="6918" max="6918" width="14.7109375" style="142" customWidth="1"/>
    <col min="6919" max="7167" width="9.140625" style="142"/>
    <col min="7168" max="7168" width="16.85546875" style="142" customWidth="1"/>
    <col min="7169" max="7169" width="12.28515625" style="142" customWidth="1"/>
    <col min="7170" max="7170" width="42.5703125" style="142" customWidth="1"/>
    <col min="7171" max="7171" width="19.5703125" style="142" customWidth="1"/>
    <col min="7172" max="7172" width="13" style="142" bestFit="1" customWidth="1"/>
    <col min="7173" max="7173" width="16.28515625" style="142" customWidth="1"/>
    <col min="7174" max="7174" width="14.7109375" style="142" customWidth="1"/>
    <col min="7175" max="7423" width="9.140625" style="142"/>
    <col min="7424" max="7424" width="16.85546875" style="142" customWidth="1"/>
    <col min="7425" max="7425" width="12.28515625" style="142" customWidth="1"/>
    <col min="7426" max="7426" width="42.5703125" style="142" customWidth="1"/>
    <col min="7427" max="7427" width="19.5703125" style="142" customWidth="1"/>
    <col min="7428" max="7428" width="13" style="142" bestFit="1" customWidth="1"/>
    <col min="7429" max="7429" width="16.28515625" style="142" customWidth="1"/>
    <col min="7430" max="7430" width="14.7109375" style="142" customWidth="1"/>
    <col min="7431" max="7679" width="9.140625" style="142"/>
    <col min="7680" max="7680" width="16.85546875" style="142" customWidth="1"/>
    <col min="7681" max="7681" width="12.28515625" style="142" customWidth="1"/>
    <col min="7682" max="7682" width="42.5703125" style="142" customWidth="1"/>
    <col min="7683" max="7683" width="19.5703125" style="142" customWidth="1"/>
    <col min="7684" max="7684" width="13" style="142" bestFit="1" customWidth="1"/>
    <col min="7685" max="7685" width="16.28515625" style="142" customWidth="1"/>
    <col min="7686" max="7686" width="14.7109375" style="142" customWidth="1"/>
    <col min="7687" max="7935" width="9.140625" style="142"/>
    <col min="7936" max="7936" width="16.85546875" style="142" customWidth="1"/>
    <col min="7937" max="7937" width="12.28515625" style="142" customWidth="1"/>
    <col min="7938" max="7938" width="42.5703125" style="142" customWidth="1"/>
    <col min="7939" max="7939" width="19.5703125" style="142" customWidth="1"/>
    <col min="7940" max="7940" width="13" style="142" bestFit="1" customWidth="1"/>
    <col min="7941" max="7941" width="16.28515625" style="142" customWidth="1"/>
    <col min="7942" max="7942" width="14.7109375" style="142" customWidth="1"/>
    <col min="7943" max="8191" width="9.140625" style="142"/>
    <col min="8192" max="8192" width="16.85546875" style="142" customWidth="1"/>
    <col min="8193" max="8193" width="12.28515625" style="142" customWidth="1"/>
    <col min="8194" max="8194" width="42.5703125" style="142" customWidth="1"/>
    <col min="8195" max="8195" width="19.5703125" style="142" customWidth="1"/>
    <col min="8196" max="8196" width="13" style="142" bestFit="1" customWidth="1"/>
    <col min="8197" max="8197" width="16.28515625" style="142" customWidth="1"/>
    <col min="8198" max="8198" width="14.7109375" style="142" customWidth="1"/>
    <col min="8199" max="8447" width="9.140625" style="142"/>
    <col min="8448" max="8448" width="16.85546875" style="142" customWidth="1"/>
    <col min="8449" max="8449" width="12.28515625" style="142" customWidth="1"/>
    <col min="8450" max="8450" width="42.5703125" style="142" customWidth="1"/>
    <col min="8451" max="8451" width="19.5703125" style="142" customWidth="1"/>
    <col min="8452" max="8452" width="13" style="142" bestFit="1" customWidth="1"/>
    <col min="8453" max="8453" width="16.28515625" style="142" customWidth="1"/>
    <col min="8454" max="8454" width="14.7109375" style="142" customWidth="1"/>
    <col min="8455" max="8703" width="9.140625" style="142"/>
    <col min="8704" max="8704" width="16.85546875" style="142" customWidth="1"/>
    <col min="8705" max="8705" width="12.28515625" style="142" customWidth="1"/>
    <col min="8706" max="8706" width="42.5703125" style="142" customWidth="1"/>
    <col min="8707" max="8707" width="19.5703125" style="142" customWidth="1"/>
    <col min="8708" max="8708" width="13" style="142" bestFit="1" customWidth="1"/>
    <col min="8709" max="8709" width="16.28515625" style="142" customWidth="1"/>
    <col min="8710" max="8710" width="14.7109375" style="142" customWidth="1"/>
    <col min="8711" max="8959" width="9.140625" style="142"/>
    <col min="8960" max="8960" width="16.85546875" style="142" customWidth="1"/>
    <col min="8961" max="8961" width="12.28515625" style="142" customWidth="1"/>
    <col min="8962" max="8962" width="42.5703125" style="142" customWidth="1"/>
    <col min="8963" max="8963" width="19.5703125" style="142" customWidth="1"/>
    <col min="8964" max="8964" width="13" style="142" bestFit="1" customWidth="1"/>
    <col min="8965" max="8965" width="16.28515625" style="142" customWidth="1"/>
    <col min="8966" max="8966" width="14.7109375" style="142" customWidth="1"/>
    <col min="8967" max="9215" width="9.140625" style="142"/>
    <col min="9216" max="9216" width="16.85546875" style="142" customWidth="1"/>
    <col min="9217" max="9217" width="12.28515625" style="142" customWidth="1"/>
    <col min="9218" max="9218" width="42.5703125" style="142" customWidth="1"/>
    <col min="9219" max="9219" width="19.5703125" style="142" customWidth="1"/>
    <col min="9220" max="9220" width="13" style="142" bestFit="1" customWidth="1"/>
    <col min="9221" max="9221" width="16.28515625" style="142" customWidth="1"/>
    <col min="9222" max="9222" width="14.7109375" style="142" customWidth="1"/>
    <col min="9223" max="9471" width="9.140625" style="142"/>
    <col min="9472" max="9472" width="16.85546875" style="142" customWidth="1"/>
    <col min="9473" max="9473" width="12.28515625" style="142" customWidth="1"/>
    <col min="9474" max="9474" width="42.5703125" style="142" customWidth="1"/>
    <col min="9475" max="9475" width="19.5703125" style="142" customWidth="1"/>
    <col min="9476" max="9476" width="13" style="142" bestFit="1" customWidth="1"/>
    <col min="9477" max="9477" width="16.28515625" style="142" customWidth="1"/>
    <col min="9478" max="9478" width="14.7109375" style="142" customWidth="1"/>
    <col min="9479" max="9727" width="9.140625" style="142"/>
    <col min="9728" max="9728" width="16.85546875" style="142" customWidth="1"/>
    <col min="9729" max="9729" width="12.28515625" style="142" customWidth="1"/>
    <col min="9730" max="9730" width="42.5703125" style="142" customWidth="1"/>
    <col min="9731" max="9731" width="19.5703125" style="142" customWidth="1"/>
    <col min="9732" max="9732" width="13" style="142" bestFit="1" customWidth="1"/>
    <col min="9733" max="9733" width="16.28515625" style="142" customWidth="1"/>
    <col min="9734" max="9734" width="14.7109375" style="142" customWidth="1"/>
    <col min="9735" max="9983" width="9.140625" style="142"/>
    <col min="9984" max="9984" width="16.85546875" style="142" customWidth="1"/>
    <col min="9985" max="9985" width="12.28515625" style="142" customWidth="1"/>
    <col min="9986" max="9986" width="42.5703125" style="142" customWidth="1"/>
    <col min="9987" max="9987" width="19.5703125" style="142" customWidth="1"/>
    <col min="9988" max="9988" width="13" style="142" bestFit="1" customWidth="1"/>
    <col min="9989" max="9989" width="16.28515625" style="142" customWidth="1"/>
    <col min="9990" max="9990" width="14.7109375" style="142" customWidth="1"/>
    <col min="9991" max="10239" width="9.140625" style="142"/>
    <col min="10240" max="10240" width="16.85546875" style="142" customWidth="1"/>
    <col min="10241" max="10241" width="12.28515625" style="142" customWidth="1"/>
    <col min="10242" max="10242" width="42.5703125" style="142" customWidth="1"/>
    <col min="10243" max="10243" width="19.5703125" style="142" customWidth="1"/>
    <col min="10244" max="10244" width="13" style="142" bestFit="1" customWidth="1"/>
    <col min="10245" max="10245" width="16.28515625" style="142" customWidth="1"/>
    <col min="10246" max="10246" width="14.7109375" style="142" customWidth="1"/>
    <col min="10247" max="10495" width="9.140625" style="142"/>
    <col min="10496" max="10496" width="16.85546875" style="142" customWidth="1"/>
    <col min="10497" max="10497" width="12.28515625" style="142" customWidth="1"/>
    <col min="10498" max="10498" width="42.5703125" style="142" customWidth="1"/>
    <col min="10499" max="10499" width="19.5703125" style="142" customWidth="1"/>
    <col min="10500" max="10500" width="13" style="142" bestFit="1" customWidth="1"/>
    <col min="10501" max="10501" width="16.28515625" style="142" customWidth="1"/>
    <col min="10502" max="10502" width="14.7109375" style="142" customWidth="1"/>
    <col min="10503" max="10751" width="9.140625" style="142"/>
    <col min="10752" max="10752" width="16.85546875" style="142" customWidth="1"/>
    <col min="10753" max="10753" width="12.28515625" style="142" customWidth="1"/>
    <col min="10754" max="10754" width="42.5703125" style="142" customWidth="1"/>
    <col min="10755" max="10755" width="19.5703125" style="142" customWidth="1"/>
    <col min="10756" max="10756" width="13" style="142" bestFit="1" customWidth="1"/>
    <col min="10757" max="10757" width="16.28515625" style="142" customWidth="1"/>
    <col min="10758" max="10758" width="14.7109375" style="142" customWidth="1"/>
    <col min="10759" max="11007" width="9.140625" style="142"/>
    <col min="11008" max="11008" width="16.85546875" style="142" customWidth="1"/>
    <col min="11009" max="11009" width="12.28515625" style="142" customWidth="1"/>
    <col min="11010" max="11010" width="42.5703125" style="142" customWidth="1"/>
    <col min="11011" max="11011" width="19.5703125" style="142" customWidth="1"/>
    <col min="11012" max="11012" width="13" style="142" bestFit="1" customWidth="1"/>
    <col min="11013" max="11013" width="16.28515625" style="142" customWidth="1"/>
    <col min="11014" max="11014" width="14.7109375" style="142" customWidth="1"/>
    <col min="11015" max="11263" width="9.140625" style="142"/>
    <col min="11264" max="11264" width="16.85546875" style="142" customWidth="1"/>
    <col min="11265" max="11265" width="12.28515625" style="142" customWidth="1"/>
    <col min="11266" max="11266" width="42.5703125" style="142" customWidth="1"/>
    <col min="11267" max="11267" width="19.5703125" style="142" customWidth="1"/>
    <col min="11268" max="11268" width="13" style="142" bestFit="1" customWidth="1"/>
    <col min="11269" max="11269" width="16.28515625" style="142" customWidth="1"/>
    <col min="11270" max="11270" width="14.7109375" style="142" customWidth="1"/>
    <col min="11271" max="11519" width="9.140625" style="142"/>
    <col min="11520" max="11520" width="16.85546875" style="142" customWidth="1"/>
    <col min="11521" max="11521" width="12.28515625" style="142" customWidth="1"/>
    <col min="11522" max="11522" width="42.5703125" style="142" customWidth="1"/>
    <col min="11523" max="11523" width="19.5703125" style="142" customWidth="1"/>
    <col min="11524" max="11524" width="13" style="142" bestFit="1" customWidth="1"/>
    <col min="11525" max="11525" width="16.28515625" style="142" customWidth="1"/>
    <col min="11526" max="11526" width="14.7109375" style="142" customWidth="1"/>
    <col min="11527" max="11775" width="9.140625" style="142"/>
    <col min="11776" max="11776" width="16.85546875" style="142" customWidth="1"/>
    <col min="11777" max="11777" width="12.28515625" style="142" customWidth="1"/>
    <col min="11778" max="11778" width="42.5703125" style="142" customWidth="1"/>
    <col min="11779" max="11779" width="19.5703125" style="142" customWidth="1"/>
    <col min="11780" max="11780" width="13" style="142" bestFit="1" customWidth="1"/>
    <col min="11781" max="11781" width="16.28515625" style="142" customWidth="1"/>
    <col min="11782" max="11782" width="14.7109375" style="142" customWidth="1"/>
    <col min="11783" max="12031" width="9.140625" style="142"/>
    <col min="12032" max="12032" width="16.85546875" style="142" customWidth="1"/>
    <col min="12033" max="12033" width="12.28515625" style="142" customWidth="1"/>
    <col min="12034" max="12034" width="42.5703125" style="142" customWidth="1"/>
    <col min="12035" max="12035" width="19.5703125" style="142" customWidth="1"/>
    <col min="12036" max="12036" width="13" style="142" bestFit="1" customWidth="1"/>
    <col min="12037" max="12037" width="16.28515625" style="142" customWidth="1"/>
    <col min="12038" max="12038" width="14.7109375" style="142" customWidth="1"/>
    <col min="12039" max="12287" width="9.140625" style="142"/>
    <col min="12288" max="12288" width="16.85546875" style="142" customWidth="1"/>
    <col min="12289" max="12289" width="12.28515625" style="142" customWidth="1"/>
    <col min="12290" max="12290" width="42.5703125" style="142" customWidth="1"/>
    <col min="12291" max="12291" width="19.5703125" style="142" customWidth="1"/>
    <col min="12292" max="12292" width="13" style="142" bestFit="1" customWidth="1"/>
    <col min="12293" max="12293" width="16.28515625" style="142" customWidth="1"/>
    <col min="12294" max="12294" width="14.7109375" style="142" customWidth="1"/>
    <col min="12295" max="12543" width="9.140625" style="142"/>
    <col min="12544" max="12544" width="16.85546875" style="142" customWidth="1"/>
    <col min="12545" max="12545" width="12.28515625" style="142" customWidth="1"/>
    <col min="12546" max="12546" width="42.5703125" style="142" customWidth="1"/>
    <col min="12547" max="12547" width="19.5703125" style="142" customWidth="1"/>
    <col min="12548" max="12548" width="13" style="142" bestFit="1" customWidth="1"/>
    <col min="12549" max="12549" width="16.28515625" style="142" customWidth="1"/>
    <col min="12550" max="12550" width="14.7109375" style="142" customWidth="1"/>
    <col min="12551" max="12799" width="9.140625" style="142"/>
    <col min="12800" max="12800" width="16.85546875" style="142" customWidth="1"/>
    <col min="12801" max="12801" width="12.28515625" style="142" customWidth="1"/>
    <col min="12802" max="12802" width="42.5703125" style="142" customWidth="1"/>
    <col min="12803" max="12803" width="19.5703125" style="142" customWidth="1"/>
    <col min="12804" max="12804" width="13" style="142" bestFit="1" customWidth="1"/>
    <col min="12805" max="12805" width="16.28515625" style="142" customWidth="1"/>
    <col min="12806" max="12806" width="14.7109375" style="142" customWidth="1"/>
    <col min="12807" max="13055" width="9.140625" style="142"/>
    <col min="13056" max="13056" width="16.85546875" style="142" customWidth="1"/>
    <col min="13057" max="13057" width="12.28515625" style="142" customWidth="1"/>
    <col min="13058" max="13058" width="42.5703125" style="142" customWidth="1"/>
    <col min="13059" max="13059" width="19.5703125" style="142" customWidth="1"/>
    <col min="13060" max="13060" width="13" style="142" bestFit="1" customWidth="1"/>
    <col min="13061" max="13061" width="16.28515625" style="142" customWidth="1"/>
    <col min="13062" max="13062" width="14.7109375" style="142" customWidth="1"/>
    <col min="13063" max="13311" width="9.140625" style="142"/>
    <col min="13312" max="13312" width="16.85546875" style="142" customWidth="1"/>
    <col min="13313" max="13313" width="12.28515625" style="142" customWidth="1"/>
    <col min="13314" max="13314" width="42.5703125" style="142" customWidth="1"/>
    <col min="13315" max="13315" width="19.5703125" style="142" customWidth="1"/>
    <col min="13316" max="13316" width="13" style="142" bestFit="1" customWidth="1"/>
    <col min="13317" max="13317" width="16.28515625" style="142" customWidth="1"/>
    <col min="13318" max="13318" width="14.7109375" style="142" customWidth="1"/>
    <col min="13319" max="13567" width="9.140625" style="142"/>
    <col min="13568" max="13568" width="16.85546875" style="142" customWidth="1"/>
    <col min="13569" max="13569" width="12.28515625" style="142" customWidth="1"/>
    <col min="13570" max="13570" width="42.5703125" style="142" customWidth="1"/>
    <col min="13571" max="13571" width="19.5703125" style="142" customWidth="1"/>
    <col min="13572" max="13572" width="13" style="142" bestFit="1" customWidth="1"/>
    <col min="13573" max="13573" width="16.28515625" style="142" customWidth="1"/>
    <col min="13574" max="13574" width="14.7109375" style="142" customWidth="1"/>
    <col min="13575" max="13823" width="9.140625" style="142"/>
    <col min="13824" max="13824" width="16.85546875" style="142" customWidth="1"/>
    <col min="13825" max="13825" width="12.28515625" style="142" customWidth="1"/>
    <col min="13826" max="13826" width="42.5703125" style="142" customWidth="1"/>
    <col min="13827" max="13827" width="19.5703125" style="142" customWidth="1"/>
    <col min="13828" max="13828" width="13" style="142" bestFit="1" customWidth="1"/>
    <col min="13829" max="13829" width="16.28515625" style="142" customWidth="1"/>
    <col min="13830" max="13830" width="14.7109375" style="142" customWidth="1"/>
    <col min="13831" max="14079" width="9.140625" style="142"/>
    <col min="14080" max="14080" width="16.85546875" style="142" customWidth="1"/>
    <col min="14081" max="14081" width="12.28515625" style="142" customWidth="1"/>
    <col min="14082" max="14082" width="42.5703125" style="142" customWidth="1"/>
    <col min="14083" max="14083" width="19.5703125" style="142" customWidth="1"/>
    <col min="14084" max="14084" width="13" style="142" bestFit="1" customWidth="1"/>
    <col min="14085" max="14085" width="16.28515625" style="142" customWidth="1"/>
    <col min="14086" max="14086" width="14.7109375" style="142" customWidth="1"/>
    <col min="14087" max="14335" width="9.140625" style="142"/>
    <col min="14336" max="14336" width="16.85546875" style="142" customWidth="1"/>
    <col min="14337" max="14337" width="12.28515625" style="142" customWidth="1"/>
    <col min="14338" max="14338" width="42.5703125" style="142" customWidth="1"/>
    <col min="14339" max="14339" width="19.5703125" style="142" customWidth="1"/>
    <col min="14340" max="14340" width="13" style="142" bestFit="1" customWidth="1"/>
    <col min="14341" max="14341" width="16.28515625" style="142" customWidth="1"/>
    <col min="14342" max="14342" width="14.7109375" style="142" customWidth="1"/>
    <col min="14343" max="14591" width="9.140625" style="142"/>
    <col min="14592" max="14592" width="16.85546875" style="142" customWidth="1"/>
    <col min="14593" max="14593" width="12.28515625" style="142" customWidth="1"/>
    <col min="14594" max="14594" width="42.5703125" style="142" customWidth="1"/>
    <col min="14595" max="14595" width="19.5703125" style="142" customWidth="1"/>
    <col min="14596" max="14596" width="13" style="142" bestFit="1" customWidth="1"/>
    <col min="14597" max="14597" width="16.28515625" style="142" customWidth="1"/>
    <col min="14598" max="14598" width="14.7109375" style="142" customWidth="1"/>
    <col min="14599" max="14847" width="9.140625" style="142"/>
    <col min="14848" max="14848" width="16.85546875" style="142" customWidth="1"/>
    <col min="14849" max="14849" width="12.28515625" style="142" customWidth="1"/>
    <col min="14850" max="14850" width="42.5703125" style="142" customWidth="1"/>
    <col min="14851" max="14851" width="19.5703125" style="142" customWidth="1"/>
    <col min="14852" max="14852" width="13" style="142" bestFit="1" customWidth="1"/>
    <col min="14853" max="14853" width="16.28515625" style="142" customWidth="1"/>
    <col min="14854" max="14854" width="14.7109375" style="142" customWidth="1"/>
    <col min="14855" max="15103" width="9.140625" style="142"/>
    <col min="15104" max="15104" width="16.85546875" style="142" customWidth="1"/>
    <col min="15105" max="15105" width="12.28515625" style="142" customWidth="1"/>
    <col min="15106" max="15106" width="42.5703125" style="142" customWidth="1"/>
    <col min="15107" max="15107" width="19.5703125" style="142" customWidth="1"/>
    <col min="15108" max="15108" width="13" style="142" bestFit="1" customWidth="1"/>
    <col min="15109" max="15109" width="16.28515625" style="142" customWidth="1"/>
    <col min="15110" max="15110" width="14.7109375" style="142" customWidth="1"/>
    <col min="15111" max="15359" width="9.140625" style="142"/>
    <col min="15360" max="15360" width="16.85546875" style="142" customWidth="1"/>
    <col min="15361" max="15361" width="12.28515625" style="142" customWidth="1"/>
    <col min="15362" max="15362" width="42.5703125" style="142" customWidth="1"/>
    <col min="15363" max="15363" width="19.5703125" style="142" customWidth="1"/>
    <col min="15364" max="15364" width="13" style="142" bestFit="1" customWidth="1"/>
    <col min="15365" max="15365" width="16.28515625" style="142" customWidth="1"/>
    <col min="15366" max="15366" width="14.7109375" style="142" customWidth="1"/>
    <col min="15367" max="15615" width="9.140625" style="142"/>
    <col min="15616" max="15616" width="16.85546875" style="142" customWidth="1"/>
    <col min="15617" max="15617" width="12.28515625" style="142" customWidth="1"/>
    <col min="15618" max="15618" width="42.5703125" style="142" customWidth="1"/>
    <col min="15619" max="15619" width="19.5703125" style="142" customWidth="1"/>
    <col min="15620" max="15620" width="13" style="142" bestFit="1" customWidth="1"/>
    <col min="15621" max="15621" width="16.28515625" style="142" customWidth="1"/>
    <col min="15622" max="15622" width="14.7109375" style="142" customWidth="1"/>
    <col min="15623" max="15871" width="9.140625" style="142"/>
    <col min="15872" max="15872" width="16.85546875" style="142" customWidth="1"/>
    <col min="15873" max="15873" width="12.28515625" style="142" customWidth="1"/>
    <col min="15874" max="15874" width="42.5703125" style="142" customWidth="1"/>
    <col min="15875" max="15875" width="19.5703125" style="142" customWidth="1"/>
    <col min="15876" max="15876" width="13" style="142" bestFit="1" customWidth="1"/>
    <col min="15877" max="15877" width="16.28515625" style="142" customWidth="1"/>
    <col min="15878" max="15878" width="14.7109375" style="142" customWidth="1"/>
    <col min="15879" max="16127" width="9.140625" style="142"/>
    <col min="16128" max="16128" width="16.85546875" style="142" customWidth="1"/>
    <col min="16129" max="16129" width="12.28515625" style="142" customWidth="1"/>
    <col min="16130" max="16130" width="42.5703125" style="142" customWidth="1"/>
    <col min="16131" max="16131" width="19.5703125" style="142" customWidth="1"/>
    <col min="16132" max="16132" width="13" style="142" bestFit="1" customWidth="1"/>
    <col min="16133" max="16133" width="16.28515625" style="142" customWidth="1"/>
    <col min="16134" max="16134" width="14.7109375" style="142" customWidth="1"/>
    <col min="16135" max="16384" width="9.140625" style="142"/>
  </cols>
  <sheetData>
    <row r="1" spans="1:7" ht="5.0999999999999996" customHeight="1">
      <c r="A1" s="252"/>
      <c r="B1" s="253"/>
      <c r="C1" s="253"/>
      <c r="D1" s="253"/>
      <c r="E1" s="253"/>
      <c r="F1" s="253"/>
      <c r="G1" s="253"/>
    </row>
    <row r="2" spans="1:7" ht="12" customHeight="1">
      <c r="A2" s="254" t="s">
        <v>740</v>
      </c>
      <c r="B2" s="255"/>
      <c r="C2" s="255"/>
      <c r="D2" s="255"/>
      <c r="E2" s="255"/>
      <c r="F2" s="255"/>
      <c r="G2" s="255"/>
    </row>
    <row r="3" spans="1:7" ht="12" customHeight="1">
      <c r="A3" s="250" t="s">
        <v>741</v>
      </c>
      <c r="B3" s="251"/>
      <c r="C3" s="251"/>
      <c r="D3" s="251"/>
      <c r="E3" s="251"/>
      <c r="F3" s="251"/>
      <c r="G3" s="251"/>
    </row>
    <row r="4" spans="1:7" ht="12" customHeight="1">
      <c r="A4" s="256" t="s">
        <v>742</v>
      </c>
      <c r="B4" s="257"/>
      <c r="C4" s="257"/>
      <c r="D4" s="257"/>
      <c r="E4" s="257"/>
      <c r="F4" s="257"/>
      <c r="G4" s="257"/>
    </row>
    <row r="5" spans="1:7" ht="12" customHeight="1">
      <c r="A5" s="250" t="s">
        <v>15</v>
      </c>
      <c r="B5" s="251"/>
      <c r="C5" s="251"/>
      <c r="D5" s="251"/>
      <c r="E5" s="251"/>
      <c r="F5" s="251"/>
      <c r="G5" s="251"/>
    </row>
    <row r="6" spans="1:7" ht="12" customHeight="1">
      <c r="A6" s="250" t="s">
        <v>743</v>
      </c>
      <c r="B6" s="251"/>
      <c r="C6" s="251"/>
      <c r="D6" s="251"/>
      <c r="E6" s="251"/>
      <c r="F6" s="251"/>
      <c r="G6" s="251"/>
    </row>
    <row r="7" spans="1:7" ht="12" customHeight="1">
      <c r="A7" s="250" t="s">
        <v>744</v>
      </c>
      <c r="B7" s="251"/>
      <c r="C7" s="251"/>
      <c r="D7" s="251"/>
      <c r="E7" s="251"/>
      <c r="F7" s="251"/>
      <c r="G7" s="251"/>
    </row>
    <row r="8" spans="1:7" ht="5.0999999999999996" customHeight="1">
      <c r="A8" s="260"/>
      <c r="B8" s="261"/>
      <c r="C8" s="261"/>
      <c r="D8" s="261"/>
      <c r="E8" s="261"/>
      <c r="F8" s="261"/>
      <c r="G8" s="261"/>
    </row>
    <row r="9" spans="1:7" ht="12" customHeight="1">
      <c r="A9" s="178"/>
      <c r="B9" s="178"/>
      <c r="C9" s="178"/>
      <c r="D9" s="178"/>
      <c r="E9" s="178"/>
      <c r="F9" s="178"/>
      <c r="G9" s="178"/>
    </row>
    <row r="10" spans="1:7" ht="30" customHeight="1">
      <c r="A10" s="262" t="s">
        <v>863</v>
      </c>
      <c r="B10" s="262"/>
      <c r="C10" s="262"/>
      <c r="D10" s="263" t="s">
        <v>978</v>
      </c>
      <c r="E10" s="263"/>
      <c r="F10" s="263"/>
      <c r="G10" s="263"/>
    </row>
    <row r="11" spans="1:7">
      <c r="A11" s="264" t="s">
        <v>763</v>
      </c>
      <c r="B11" s="265"/>
      <c r="C11" s="265"/>
      <c r="D11" s="265"/>
      <c r="E11" s="265"/>
      <c r="F11" s="265"/>
      <c r="G11" s="266"/>
    </row>
    <row r="12" spans="1:7" ht="6" customHeight="1">
      <c r="A12" s="267"/>
      <c r="B12" s="267"/>
      <c r="C12" s="267"/>
      <c r="D12" s="267"/>
      <c r="E12" s="143"/>
      <c r="F12" s="176"/>
      <c r="G12" s="176"/>
    </row>
    <row r="13" spans="1:7" ht="3.95" customHeight="1">
      <c r="A13" s="268" t="s">
        <v>979</v>
      </c>
      <c r="B13" s="268"/>
      <c r="C13" s="268"/>
      <c r="D13" s="268"/>
      <c r="E13" s="268"/>
      <c r="F13" s="268"/>
      <c r="G13" s="268"/>
    </row>
    <row r="14" spans="1:7" ht="3.95" customHeight="1">
      <c r="A14" s="268"/>
      <c r="B14" s="268"/>
      <c r="C14" s="268"/>
      <c r="D14" s="268"/>
      <c r="E14" s="268"/>
      <c r="F14" s="268"/>
      <c r="G14" s="268"/>
    </row>
    <row r="15" spans="1:7" ht="3.95" customHeight="1">
      <c r="A15" s="268"/>
      <c r="B15" s="268"/>
      <c r="C15" s="268"/>
      <c r="D15" s="268"/>
      <c r="E15" s="268"/>
      <c r="F15" s="268"/>
      <c r="G15" s="268"/>
    </row>
    <row r="16" spans="1:7" ht="12" customHeight="1">
      <c r="A16" s="269" t="s">
        <v>941</v>
      </c>
      <c r="B16" s="269"/>
      <c r="C16" s="269"/>
      <c r="D16" s="269"/>
      <c r="E16" s="269"/>
      <c r="F16" s="269"/>
      <c r="G16" s="269"/>
    </row>
    <row r="17" spans="1:9" ht="15.75" customHeight="1">
      <c r="A17" s="270" t="s">
        <v>745</v>
      </c>
      <c r="B17" s="271"/>
      <c r="C17" s="271"/>
      <c r="D17" s="271"/>
      <c r="E17" s="271"/>
      <c r="F17" s="271"/>
      <c r="G17" s="271"/>
    </row>
    <row r="18" spans="1:9" ht="31.5">
      <c r="A18" s="175" t="s">
        <v>746</v>
      </c>
      <c r="B18" s="177" t="s">
        <v>747</v>
      </c>
      <c r="C18" s="177" t="s">
        <v>748</v>
      </c>
      <c r="D18" s="177" t="s">
        <v>749</v>
      </c>
      <c r="E18" s="177" t="s">
        <v>750</v>
      </c>
      <c r="F18" s="144" t="s">
        <v>751</v>
      </c>
      <c r="G18" s="144" t="s">
        <v>752</v>
      </c>
    </row>
    <row r="19" spans="1:9">
      <c r="A19" s="145">
        <v>247</v>
      </c>
      <c r="B19" s="146" t="s">
        <v>936</v>
      </c>
      <c r="C19" s="147" t="s">
        <v>937</v>
      </c>
      <c r="D19" s="148" t="s">
        <v>753</v>
      </c>
      <c r="E19" s="149">
        <v>0.05</v>
      </c>
      <c r="F19" s="150">
        <v>20.3</v>
      </c>
      <c r="G19" s="151">
        <f>ROUNDUP(E19*F19,2)</f>
        <v>1.02</v>
      </c>
      <c r="I19" s="182"/>
    </row>
    <row r="20" spans="1:9">
      <c r="A20" s="272" t="s">
        <v>754</v>
      </c>
      <c r="B20" s="273"/>
      <c r="C20" s="273"/>
      <c r="D20" s="273"/>
      <c r="E20" s="273"/>
      <c r="F20" s="273"/>
      <c r="G20" s="152">
        <f>SUM(G19:G19)</f>
        <v>1.02</v>
      </c>
    </row>
    <row r="21" spans="1:9" ht="5.0999999999999996" customHeight="1">
      <c r="A21" s="153"/>
      <c r="B21" s="154"/>
      <c r="C21" s="154"/>
      <c r="D21" s="155"/>
      <c r="E21" s="155"/>
      <c r="F21" s="154"/>
      <c r="G21" s="156"/>
    </row>
    <row r="22" spans="1:9">
      <c r="A22" s="270" t="s">
        <v>755</v>
      </c>
      <c r="B22" s="271"/>
      <c r="C22" s="271"/>
      <c r="D22" s="271"/>
      <c r="E22" s="271"/>
      <c r="F22" s="271"/>
      <c r="G22" s="274"/>
    </row>
    <row r="23" spans="1:9" ht="31.5">
      <c r="A23" s="258" t="s">
        <v>747</v>
      </c>
      <c r="B23" s="259"/>
      <c r="C23" s="177" t="s">
        <v>748</v>
      </c>
      <c r="D23" s="177" t="s">
        <v>749</v>
      </c>
      <c r="E23" s="177" t="s">
        <v>750</v>
      </c>
      <c r="F23" s="144" t="s">
        <v>751</v>
      </c>
      <c r="G23" s="144" t="s">
        <v>752</v>
      </c>
    </row>
    <row r="24" spans="1:9" ht="31.5">
      <c r="A24" s="179">
        <v>38091</v>
      </c>
      <c r="B24" s="148" t="s">
        <v>936</v>
      </c>
      <c r="C24" s="180" t="s">
        <v>938</v>
      </c>
      <c r="D24" s="148" t="s">
        <v>29</v>
      </c>
      <c r="E24" s="149">
        <v>1</v>
      </c>
      <c r="F24" s="151">
        <v>2.58</v>
      </c>
      <c r="G24" s="151">
        <f>ROUNDDOWN(E24*F24,2)</f>
        <v>2.58</v>
      </c>
      <c r="H24" s="157"/>
      <c r="I24" s="182"/>
    </row>
    <row r="25" spans="1:9">
      <c r="A25" s="272" t="s">
        <v>756</v>
      </c>
      <c r="B25" s="273"/>
      <c r="C25" s="273"/>
      <c r="D25" s="273"/>
      <c r="E25" s="273"/>
      <c r="F25" s="273"/>
      <c r="G25" s="158">
        <f>ROUNDDOWN(SUM(G24:G24),2)</f>
        <v>2.58</v>
      </c>
    </row>
    <row r="26" spans="1:9" ht="12.95" customHeight="1">
      <c r="C26" s="174"/>
      <c r="D26" s="277" t="s">
        <v>757</v>
      </c>
      <c r="E26" s="278"/>
      <c r="F26" s="279"/>
      <c r="G26" s="159">
        <f>G20</f>
        <v>1.02</v>
      </c>
    </row>
    <row r="27" spans="1:9" ht="12.95" customHeight="1">
      <c r="C27" s="174"/>
      <c r="D27" s="280" t="s">
        <v>939</v>
      </c>
      <c r="E27" s="281"/>
      <c r="F27" s="282"/>
      <c r="G27" s="160">
        <v>0.85560000000000003</v>
      </c>
      <c r="H27" s="161"/>
    </row>
    <row r="28" spans="1:9" ht="12.95" customHeight="1">
      <c r="C28" s="174"/>
      <c r="D28" s="283" t="s">
        <v>758</v>
      </c>
      <c r="E28" s="284"/>
      <c r="F28" s="285"/>
      <c r="G28" s="150">
        <f>ROUNDDOWN(G26+G26*G27,2)</f>
        <v>1.89</v>
      </c>
    </row>
    <row r="29" spans="1:9" ht="12.95" customHeight="1">
      <c r="C29" s="174"/>
      <c r="D29" s="283" t="s">
        <v>759</v>
      </c>
      <c r="E29" s="284"/>
      <c r="F29" s="285"/>
      <c r="G29" s="159">
        <f>G25</f>
        <v>2.58</v>
      </c>
    </row>
    <row r="30" spans="1:9" ht="12.95" customHeight="1">
      <c r="C30" s="174"/>
      <c r="D30" s="270" t="s">
        <v>980</v>
      </c>
      <c r="E30" s="271"/>
      <c r="F30" s="274"/>
      <c r="G30" s="168">
        <f>G28+G29</f>
        <v>4.47</v>
      </c>
    </row>
    <row r="31" spans="1:9" s="162" customFormat="1">
      <c r="C31" s="163"/>
      <c r="D31" s="164"/>
      <c r="E31" s="164"/>
      <c r="F31" s="164"/>
      <c r="G31" s="165"/>
    </row>
    <row r="32" spans="1:9">
      <c r="A32" s="275" t="s">
        <v>940</v>
      </c>
      <c r="B32" s="275"/>
      <c r="C32" s="275"/>
      <c r="D32" s="275"/>
      <c r="E32" s="275"/>
      <c r="F32" s="275"/>
      <c r="G32" s="275"/>
    </row>
    <row r="33" spans="1:7">
      <c r="A33" s="275" t="s">
        <v>760</v>
      </c>
      <c r="B33" s="275"/>
      <c r="C33" s="275"/>
      <c r="D33" s="275"/>
      <c r="E33" s="275"/>
      <c r="F33" s="275"/>
      <c r="G33" s="275"/>
    </row>
    <row r="34" spans="1:7">
      <c r="A34" s="276" t="s">
        <v>761</v>
      </c>
      <c r="B34" s="275"/>
      <c r="C34" s="275"/>
      <c r="D34" s="275"/>
      <c r="E34" s="275"/>
      <c r="F34" s="275"/>
      <c r="G34" s="275"/>
    </row>
    <row r="35" spans="1:7">
      <c r="A35" s="275" t="s">
        <v>762</v>
      </c>
      <c r="B35" s="275"/>
      <c r="C35" s="275"/>
      <c r="D35" s="275"/>
      <c r="E35" s="275"/>
      <c r="F35" s="275"/>
      <c r="G35" s="275"/>
    </row>
  </sheetData>
  <mergeCells count="28">
    <mergeCell ref="A6:G6"/>
    <mergeCell ref="A1:G1"/>
    <mergeCell ref="A2:G2"/>
    <mergeCell ref="A3:G3"/>
    <mergeCell ref="A4:G4"/>
    <mergeCell ref="A5:G5"/>
    <mergeCell ref="A20:F20"/>
    <mergeCell ref="A10:C10"/>
    <mergeCell ref="D10:G10"/>
    <mergeCell ref="A7:G7"/>
    <mergeCell ref="A8:G8"/>
    <mergeCell ref="A11:G11"/>
    <mergeCell ref="A12:D12"/>
    <mergeCell ref="A13:G15"/>
    <mergeCell ref="A16:G16"/>
    <mergeCell ref="A17:G17"/>
    <mergeCell ref="A22:G22"/>
    <mergeCell ref="A23:B23"/>
    <mergeCell ref="A25:F25"/>
    <mergeCell ref="D26:F26"/>
    <mergeCell ref="D27:F27"/>
    <mergeCell ref="A35:G35"/>
    <mergeCell ref="D28:F28"/>
    <mergeCell ref="D29:F29"/>
    <mergeCell ref="D30:F30"/>
    <mergeCell ref="A32:G32"/>
    <mergeCell ref="A33:G33"/>
    <mergeCell ref="A34:G34"/>
  </mergeCells>
  <pageMargins left="0.511811024" right="0.511811024" top="0.78740157499999996" bottom="0.78740157499999996" header="0.31496062000000002" footer="0.31496062000000002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/>
  </sheetViews>
  <sheetFormatPr defaultRowHeight="15"/>
  <cols>
    <col min="1" max="1" width="6.7109375" style="185" customWidth="1"/>
    <col min="2" max="2" width="5.85546875" style="185" bestFit="1" customWidth="1"/>
    <col min="3" max="3" width="55.7109375" style="186" bestFit="1" customWidth="1"/>
    <col min="4" max="16384" width="9.140625" style="186"/>
  </cols>
  <sheetData>
    <row r="1" spans="1:3" ht="18.75">
      <c r="A1" s="184" t="s">
        <v>996</v>
      </c>
    </row>
    <row r="3" spans="1:3" s="188" customFormat="1">
      <c r="A3" s="187" t="s">
        <v>997</v>
      </c>
      <c r="B3" s="187" t="s">
        <v>998</v>
      </c>
      <c r="C3" s="187" t="s">
        <v>1</v>
      </c>
    </row>
    <row r="4" spans="1:3">
      <c r="A4" s="189">
        <v>5</v>
      </c>
      <c r="B4" s="189" t="s">
        <v>999</v>
      </c>
      <c r="C4" s="190" t="s">
        <v>1000</v>
      </c>
    </row>
    <row r="5" spans="1:3">
      <c r="A5" s="189">
        <v>50</v>
      </c>
      <c r="B5" s="189" t="s">
        <v>999</v>
      </c>
      <c r="C5" s="190" t="s">
        <v>1001</v>
      </c>
    </row>
    <row r="6" spans="1:3">
      <c r="A6" s="189">
        <v>2</v>
      </c>
      <c r="B6" s="189" t="s">
        <v>999</v>
      </c>
      <c r="C6" s="190" t="s">
        <v>1002</v>
      </c>
    </row>
    <row r="7" spans="1:3">
      <c r="A7" s="189">
        <v>5</v>
      </c>
      <c r="B7" s="189" t="s">
        <v>999</v>
      </c>
      <c r="C7" s="190" t="s">
        <v>1003</v>
      </c>
    </row>
    <row r="8" spans="1:3">
      <c r="A8" s="189">
        <v>10</v>
      </c>
      <c r="B8" s="189" t="s">
        <v>999</v>
      </c>
      <c r="C8" s="190" t="s">
        <v>1004</v>
      </c>
    </row>
    <row r="9" spans="1:3">
      <c r="A9" s="191">
        <v>4</v>
      </c>
      <c r="B9" s="189" t="s">
        <v>999</v>
      </c>
      <c r="C9" s="190" t="s">
        <v>1005</v>
      </c>
    </row>
    <row r="10" spans="1:3">
      <c r="A10" s="189">
        <v>24</v>
      </c>
      <c r="B10" s="189" t="s">
        <v>999</v>
      </c>
      <c r="C10" s="190" t="s">
        <v>1006</v>
      </c>
    </row>
    <row r="11" spans="1:3">
      <c r="A11" s="189">
        <v>24</v>
      </c>
      <c r="B11" s="189" t="s">
        <v>999</v>
      </c>
      <c r="C11" s="190" t="s">
        <v>1007</v>
      </c>
    </row>
    <row r="12" spans="1:3">
      <c r="A12" s="189">
        <v>22</v>
      </c>
      <c r="B12" s="189" t="s">
        <v>999</v>
      </c>
      <c r="C12" s="190" t="s">
        <v>1008</v>
      </c>
    </row>
    <row r="13" spans="1:3">
      <c r="A13" s="189">
        <v>44</v>
      </c>
      <c r="B13" s="189" t="s">
        <v>999</v>
      </c>
      <c r="C13" s="190" t="s">
        <v>1009</v>
      </c>
    </row>
    <row r="14" spans="1:3">
      <c r="A14" s="189">
        <v>21</v>
      </c>
      <c r="B14" s="189" t="s">
        <v>999</v>
      </c>
      <c r="C14" s="190" t="s">
        <v>1010</v>
      </c>
    </row>
    <row r="15" spans="1:3">
      <c r="A15" s="189">
        <v>10</v>
      </c>
      <c r="B15" s="189" t="s">
        <v>999</v>
      </c>
      <c r="C15" s="190" t="s">
        <v>1011</v>
      </c>
    </row>
    <row r="16" spans="1:3">
      <c r="A16" s="189">
        <v>50</v>
      </c>
      <c r="B16" s="189" t="s">
        <v>999</v>
      </c>
      <c r="C16" s="190" t="s">
        <v>1012</v>
      </c>
    </row>
    <row r="17" spans="1:3">
      <c r="A17" s="189">
        <v>6</v>
      </c>
      <c r="B17" s="189" t="s">
        <v>999</v>
      </c>
      <c r="C17" s="190" t="s">
        <v>1013</v>
      </c>
    </row>
    <row r="18" spans="1:3">
      <c r="A18" s="189">
        <v>6</v>
      </c>
      <c r="B18" s="189" t="s">
        <v>999</v>
      </c>
      <c r="C18" s="190" t="s">
        <v>1014</v>
      </c>
    </row>
    <row r="19" spans="1:3" ht="45">
      <c r="A19" s="192">
        <v>1</v>
      </c>
      <c r="B19" s="192" t="s">
        <v>1015</v>
      </c>
      <c r="C19" s="193" t="s">
        <v>1016</v>
      </c>
    </row>
    <row r="20" spans="1:3">
      <c r="A20" s="189">
        <v>1</v>
      </c>
      <c r="B20" s="189" t="s">
        <v>1015</v>
      </c>
      <c r="C20" s="193" t="s">
        <v>1017</v>
      </c>
    </row>
    <row r="21" spans="1:3">
      <c r="A21" s="189">
        <v>1</v>
      </c>
      <c r="B21" s="189" t="s">
        <v>1015</v>
      </c>
      <c r="C21" s="190" t="s">
        <v>1018</v>
      </c>
    </row>
    <row r="22" spans="1:3">
      <c r="A22" s="189">
        <v>1</v>
      </c>
      <c r="B22" s="189" t="s">
        <v>1015</v>
      </c>
      <c r="C22" s="190" t="s">
        <v>1019</v>
      </c>
    </row>
    <row r="23" spans="1:3">
      <c r="A23" s="189">
        <v>5</v>
      </c>
      <c r="B23" s="189" t="s">
        <v>999</v>
      </c>
      <c r="C23" s="190" t="s">
        <v>1020</v>
      </c>
    </row>
    <row r="24" spans="1:3">
      <c r="A24" s="189">
        <v>1</v>
      </c>
      <c r="B24" s="189" t="s">
        <v>1015</v>
      </c>
      <c r="C24" s="190" t="s">
        <v>1021</v>
      </c>
    </row>
    <row r="25" spans="1:3">
      <c r="A25" s="189">
        <v>6</v>
      </c>
      <c r="B25" s="189" t="s">
        <v>999</v>
      </c>
      <c r="C25" s="190" t="s">
        <v>1022</v>
      </c>
    </row>
    <row r="26" spans="1:3">
      <c r="A26" s="189">
        <v>2</v>
      </c>
      <c r="B26" s="189" t="s">
        <v>999</v>
      </c>
      <c r="C26" s="190" t="s">
        <v>1023</v>
      </c>
    </row>
    <row r="27" spans="1:3">
      <c r="A27" s="189">
        <v>200</v>
      </c>
      <c r="B27" s="189" t="s">
        <v>7</v>
      </c>
      <c r="C27" s="190" t="s">
        <v>1024</v>
      </c>
    </row>
    <row r="28" spans="1:3">
      <c r="A28" s="189">
        <v>40</v>
      </c>
      <c r="B28" s="189" t="s">
        <v>7</v>
      </c>
      <c r="C28" s="190" t="s">
        <v>1025</v>
      </c>
    </row>
    <row r="29" spans="1:3">
      <c r="A29" s="189">
        <v>115</v>
      </c>
      <c r="B29" s="189" t="s">
        <v>7</v>
      </c>
      <c r="C29" s="190" t="s">
        <v>1026</v>
      </c>
    </row>
    <row r="30" spans="1:3">
      <c r="A30" s="189">
        <v>38</v>
      </c>
      <c r="B30" s="189" t="s">
        <v>7</v>
      </c>
      <c r="C30" s="190" t="s">
        <v>1027</v>
      </c>
    </row>
    <row r="31" spans="1:3">
      <c r="A31" s="189">
        <v>19</v>
      </c>
      <c r="B31" s="189" t="s">
        <v>7</v>
      </c>
      <c r="C31" s="190" t="s">
        <v>1028</v>
      </c>
    </row>
    <row r="32" spans="1:3">
      <c r="A32" s="189">
        <v>29</v>
      </c>
      <c r="B32" s="189" t="s">
        <v>7</v>
      </c>
      <c r="C32" s="190" t="s">
        <v>1029</v>
      </c>
    </row>
    <row r="33" spans="1:3">
      <c r="A33" s="189">
        <v>4.5</v>
      </c>
      <c r="B33" s="189" t="s">
        <v>7</v>
      </c>
      <c r="C33" s="190" t="s">
        <v>1030</v>
      </c>
    </row>
    <row r="34" spans="1:3">
      <c r="A34" s="189">
        <v>1.5</v>
      </c>
      <c r="B34" s="189" t="s">
        <v>7</v>
      </c>
      <c r="C34" s="190" t="s">
        <v>1031</v>
      </c>
    </row>
    <row r="35" spans="1:3">
      <c r="A35" s="189">
        <v>200</v>
      </c>
      <c r="B35" s="189" t="s">
        <v>7</v>
      </c>
      <c r="C35" s="190" t="s">
        <v>1032</v>
      </c>
    </row>
    <row r="36" spans="1:3">
      <c r="A36" s="189">
        <v>100</v>
      </c>
      <c r="B36" s="189" t="s">
        <v>7</v>
      </c>
      <c r="C36" s="190" t="s">
        <v>1033</v>
      </c>
    </row>
    <row r="37" spans="1:3">
      <c r="A37" s="189">
        <v>50</v>
      </c>
      <c r="B37" s="189" t="s">
        <v>7</v>
      </c>
      <c r="C37" s="190" t="s">
        <v>1034</v>
      </c>
    </row>
    <row r="38" spans="1:3">
      <c r="A38" s="189">
        <v>50</v>
      </c>
      <c r="B38" s="189" t="s">
        <v>7</v>
      </c>
      <c r="C38" s="190" t="s">
        <v>1035</v>
      </c>
    </row>
    <row r="39" spans="1:3">
      <c r="A39" s="189">
        <v>50</v>
      </c>
      <c r="B39" s="189" t="s">
        <v>7</v>
      </c>
      <c r="C39" s="190" t="s">
        <v>1036</v>
      </c>
    </row>
    <row r="40" spans="1:3">
      <c r="A40" s="189">
        <v>400</v>
      </c>
      <c r="B40" s="189" t="s">
        <v>7</v>
      </c>
      <c r="C40" s="190" t="s">
        <v>1037</v>
      </c>
    </row>
    <row r="41" spans="1:3">
      <c r="A41" s="189">
        <v>400</v>
      </c>
      <c r="B41" s="189" t="s">
        <v>7</v>
      </c>
      <c r="C41" s="190" t="s">
        <v>1038</v>
      </c>
    </row>
    <row r="42" spans="1:3">
      <c r="A42" s="189">
        <v>400</v>
      </c>
      <c r="B42" s="189" t="s">
        <v>7</v>
      </c>
      <c r="C42" s="190" t="s">
        <v>1039</v>
      </c>
    </row>
    <row r="43" spans="1:3">
      <c r="A43" s="189">
        <v>300</v>
      </c>
      <c r="B43" s="189" t="s">
        <v>7</v>
      </c>
      <c r="C43" s="190" t="s">
        <v>1040</v>
      </c>
    </row>
    <row r="44" spans="1:3">
      <c r="A44" s="189">
        <v>300</v>
      </c>
      <c r="B44" s="189" t="s">
        <v>7</v>
      </c>
      <c r="C44" s="190" t="s">
        <v>1041</v>
      </c>
    </row>
    <row r="45" spans="1:3">
      <c r="A45" s="189">
        <v>300</v>
      </c>
      <c r="B45" s="189" t="s">
        <v>7</v>
      </c>
      <c r="C45" s="190" t="s">
        <v>1042</v>
      </c>
    </row>
    <row r="46" spans="1:3">
      <c r="A46" s="189">
        <v>300</v>
      </c>
      <c r="B46" s="189" t="s">
        <v>7</v>
      </c>
      <c r="C46" s="190" t="s">
        <v>1043</v>
      </c>
    </row>
    <row r="47" spans="1:3" ht="45">
      <c r="A47" s="192">
        <v>1</v>
      </c>
      <c r="B47" s="192" t="s">
        <v>1015</v>
      </c>
      <c r="C47" s="193" t="s">
        <v>1044</v>
      </c>
    </row>
    <row r="48" spans="1:3" ht="60">
      <c r="A48" s="192">
        <v>1</v>
      </c>
      <c r="B48" s="192" t="s">
        <v>1015</v>
      </c>
      <c r="C48" s="193" t="s">
        <v>1045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workbookViewId="0"/>
  </sheetViews>
  <sheetFormatPr defaultRowHeight="12"/>
  <cols>
    <col min="1" max="1" width="9.140625" style="131"/>
    <col min="2" max="2" width="10.42578125" style="131" customWidth="1"/>
    <col min="3" max="3" width="42.28515625" style="131" customWidth="1"/>
    <col min="4" max="4" width="23.42578125" style="131" customWidth="1"/>
    <col min="5" max="16384" width="9.140625" style="131"/>
  </cols>
  <sheetData>
    <row r="1" spans="2:9" ht="15">
      <c r="B1" s="217" t="s">
        <v>16</v>
      </c>
      <c r="C1" s="217"/>
      <c r="D1" s="217"/>
      <c r="E1" s="130"/>
      <c r="F1" s="130"/>
      <c r="G1" s="130"/>
      <c r="H1" s="130"/>
      <c r="I1" s="130"/>
    </row>
    <row r="2" spans="2:9" ht="15">
      <c r="B2" s="217" t="s">
        <v>14</v>
      </c>
      <c r="C2" s="217"/>
      <c r="D2" s="217"/>
      <c r="E2" s="130"/>
      <c r="F2" s="130"/>
      <c r="G2" s="130"/>
      <c r="H2" s="130"/>
      <c r="I2" s="130"/>
    </row>
    <row r="3" spans="2:9" ht="14.25">
      <c r="B3" s="219" t="s">
        <v>15</v>
      </c>
      <c r="C3" s="219"/>
      <c r="D3" s="219"/>
      <c r="E3" s="132"/>
      <c r="F3" s="132"/>
      <c r="G3" s="132"/>
      <c r="H3" s="132"/>
      <c r="I3" s="132"/>
    </row>
    <row r="4" spans="2:9" ht="14.25">
      <c r="B4" s="128"/>
      <c r="C4" s="128"/>
      <c r="D4" s="41"/>
      <c r="E4" s="128"/>
      <c r="F4" s="128"/>
      <c r="G4" s="128"/>
      <c r="H4" s="128"/>
      <c r="I4" s="128"/>
    </row>
    <row r="5" spans="2:9" ht="14.25">
      <c r="B5" s="128"/>
      <c r="C5" s="128"/>
      <c r="D5" s="41"/>
      <c r="E5" s="128"/>
      <c r="F5" s="128"/>
      <c r="G5" s="128"/>
      <c r="H5" s="128"/>
      <c r="I5" s="128"/>
    </row>
    <row r="6" spans="2:9" ht="12.75">
      <c r="B6" s="288" t="s">
        <v>673</v>
      </c>
      <c r="C6" s="288"/>
      <c r="D6" s="288"/>
    </row>
    <row r="7" spans="2:9" ht="12.75">
      <c r="B7" s="133" t="s">
        <v>674</v>
      </c>
      <c r="C7" s="289" t="s">
        <v>862</v>
      </c>
      <c r="D7" s="289"/>
    </row>
    <row r="8" spans="2:9" ht="12.75">
      <c r="B8" s="133" t="s">
        <v>675</v>
      </c>
      <c r="C8" s="289" t="s">
        <v>368</v>
      </c>
      <c r="D8" s="289"/>
    </row>
    <row r="9" spans="2:9" ht="5.0999999999999996" customHeight="1">
      <c r="B9" s="134"/>
      <c r="C9" s="134"/>
      <c r="D9" s="134"/>
    </row>
    <row r="10" spans="2:9" ht="12.75">
      <c r="B10" s="135" t="s">
        <v>124</v>
      </c>
      <c r="C10" s="135" t="s">
        <v>676</v>
      </c>
      <c r="D10" s="135" t="s">
        <v>677</v>
      </c>
    </row>
    <row r="11" spans="2:9" ht="12.75">
      <c r="B11" s="135">
        <v>1</v>
      </c>
      <c r="C11" s="135" t="s">
        <v>678</v>
      </c>
      <c r="D11" s="136">
        <v>0.03</v>
      </c>
    </row>
    <row r="12" spans="2:9" ht="12.75">
      <c r="B12" s="135">
        <v>2</v>
      </c>
      <c r="C12" s="135" t="s">
        <v>679</v>
      </c>
      <c r="D12" s="136">
        <v>7.0000000000000007E-2</v>
      </c>
    </row>
    <row r="13" spans="2:9" ht="12.75">
      <c r="B13" s="135">
        <v>3</v>
      </c>
      <c r="C13" s="135" t="s">
        <v>680</v>
      </c>
      <c r="D13" s="136">
        <v>9.4000000000000004E-3</v>
      </c>
    </row>
    <row r="14" spans="2:9" ht="12.75">
      <c r="B14" s="135">
        <v>4</v>
      </c>
      <c r="C14" s="135" t="s">
        <v>681</v>
      </c>
      <c r="D14" s="136">
        <v>8.0000000000000002E-3</v>
      </c>
    </row>
    <row r="15" spans="2:9" ht="12.75">
      <c r="B15" s="135">
        <v>5</v>
      </c>
      <c r="C15" s="135" t="s">
        <v>682</v>
      </c>
      <c r="D15" s="136">
        <v>1.2500000000000001E-2</v>
      </c>
    </row>
    <row r="16" spans="2:9" ht="12.75">
      <c r="B16" s="135">
        <v>6</v>
      </c>
      <c r="C16" s="135" t="s">
        <v>683</v>
      </c>
      <c r="D16" s="136">
        <f>D17+D18</f>
        <v>7.0000000000000007E-2</v>
      </c>
    </row>
    <row r="17" spans="2:4" ht="12.75">
      <c r="B17" s="135" t="s">
        <v>684</v>
      </c>
      <c r="C17" s="135" t="s">
        <v>685</v>
      </c>
      <c r="D17" s="136">
        <v>0.05</v>
      </c>
    </row>
    <row r="18" spans="2:4" ht="12.75">
      <c r="B18" s="135" t="s">
        <v>686</v>
      </c>
      <c r="C18" s="135" t="s">
        <v>687</v>
      </c>
      <c r="D18" s="136">
        <v>0.02</v>
      </c>
    </row>
    <row r="19" spans="2:4" ht="12.75">
      <c r="B19" s="135"/>
      <c r="C19" s="137" t="s">
        <v>688</v>
      </c>
      <c r="D19" s="138">
        <f>ROUNDDOWN((((1+D11+D14+D15)*(1+D12)*(1+D13))/(1-D16)-1),4)</f>
        <v>0.22</v>
      </c>
    </row>
    <row r="20" spans="2:4" ht="5.0999999999999996" customHeight="1"/>
    <row r="21" spans="2:4">
      <c r="B21" s="286" t="s">
        <v>689</v>
      </c>
      <c r="C21" s="286"/>
      <c r="D21" s="286"/>
    </row>
    <row r="22" spans="2:4">
      <c r="B22" s="286"/>
      <c r="C22" s="286"/>
      <c r="D22" s="286"/>
    </row>
    <row r="23" spans="2:4">
      <c r="B23" s="287"/>
      <c r="C23" s="287"/>
      <c r="D23" s="287"/>
    </row>
    <row r="24" spans="2:4">
      <c r="B24" s="287"/>
      <c r="C24" s="287"/>
      <c r="D24" s="287"/>
    </row>
    <row r="25" spans="2:4">
      <c r="B25" s="287"/>
      <c r="C25" s="287"/>
      <c r="D25" s="287"/>
    </row>
    <row r="26" spans="2:4">
      <c r="B26" s="287"/>
      <c r="C26" s="287"/>
      <c r="D26" s="287"/>
    </row>
    <row r="27" spans="2:4">
      <c r="B27" s="287"/>
      <c r="C27" s="287"/>
      <c r="D27" s="287"/>
    </row>
  </sheetData>
  <mergeCells count="8">
    <mergeCell ref="B21:D22"/>
    <mergeCell ref="B23:D27"/>
    <mergeCell ref="B1:D1"/>
    <mergeCell ref="B2:D2"/>
    <mergeCell ref="B3:D3"/>
    <mergeCell ref="B6:D6"/>
    <mergeCell ref="C7:D7"/>
    <mergeCell ref="C8:D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5"/>
  <sheetViews>
    <sheetView workbookViewId="0">
      <selection activeCell="H41" sqref="H41"/>
    </sheetView>
  </sheetViews>
  <sheetFormatPr defaultRowHeight="12"/>
  <cols>
    <col min="1" max="1" width="9.140625" style="1"/>
    <col min="2" max="2" width="28.5703125" style="1" customWidth="1"/>
    <col min="3" max="3" width="10.5703125" style="1" customWidth="1"/>
    <col min="4" max="16384" width="9.140625" style="1"/>
  </cols>
  <sheetData>
    <row r="3" spans="2:3">
      <c r="B3" s="290" t="s">
        <v>534</v>
      </c>
      <c r="C3" s="290"/>
    </row>
    <row r="4" spans="2:3">
      <c r="B4" s="94" t="s">
        <v>26</v>
      </c>
      <c r="C4" s="95">
        <f>35.03+3.17</f>
        <v>38.200000000000003</v>
      </c>
    </row>
    <row r="5" spans="2:3">
      <c r="B5" s="94" t="s">
        <v>527</v>
      </c>
      <c r="C5" s="95">
        <v>0.15</v>
      </c>
    </row>
    <row r="6" spans="2:3">
      <c r="B6" s="94" t="s">
        <v>27</v>
      </c>
      <c r="C6" s="95">
        <v>0.2</v>
      </c>
    </row>
    <row r="7" spans="2:3">
      <c r="B7" s="94" t="s">
        <v>528</v>
      </c>
      <c r="C7" s="95">
        <f>ROUNDUP(C4*C5*C6,2)</f>
        <v>1.1499999999999999</v>
      </c>
    </row>
    <row r="8" spans="2:3">
      <c r="B8" s="94" t="s">
        <v>529</v>
      </c>
      <c r="C8" s="95">
        <f>ROUNDDOWN(C4*C6*2,2)</f>
        <v>15.28</v>
      </c>
    </row>
    <row r="9" spans="2:3">
      <c r="B9" s="94" t="s">
        <v>530</v>
      </c>
      <c r="C9" s="95">
        <f>ROUNDUP(4*C4*0.617,2)</f>
        <v>94.28</v>
      </c>
    </row>
    <row r="10" spans="2:3">
      <c r="B10" s="94" t="s">
        <v>531</v>
      </c>
      <c r="C10" s="95">
        <f>ROUNDDOWN(ROUNDUP(C4/0.2,0)*((C5-0.06)*2+(C6-0.06)*2)*0.154,2)</f>
        <v>13.53</v>
      </c>
    </row>
    <row r="11" spans="2:3">
      <c r="B11" s="94" t="s">
        <v>532</v>
      </c>
      <c r="C11" s="95">
        <f>ROUNDUP(C4*C5*0.05,2)</f>
        <v>0.29000000000000004</v>
      </c>
    </row>
    <row r="12" spans="2:3">
      <c r="B12" s="94" t="s">
        <v>533</v>
      </c>
      <c r="C12" s="95">
        <f>C8+C4*C5</f>
        <v>21.009999999999998</v>
      </c>
    </row>
    <row r="13" spans="2:3">
      <c r="B13" s="94" t="s">
        <v>366</v>
      </c>
      <c r="C13" s="95">
        <f>ROUNDUP(1.16*(3.2+7.7)*0.15,2)</f>
        <v>1.9</v>
      </c>
    </row>
    <row r="15" spans="2:3">
      <c r="B15" s="290" t="s">
        <v>535</v>
      </c>
      <c r="C15" s="290"/>
    </row>
    <row r="16" spans="2:3">
      <c r="B16" s="94" t="s">
        <v>26</v>
      </c>
      <c r="C16" s="95">
        <v>15.6</v>
      </c>
    </row>
    <row r="17" spans="2:3">
      <c r="B17" s="94" t="s">
        <v>527</v>
      </c>
      <c r="C17" s="95">
        <v>0.15</v>
      </c>
    </row>
    <row r="18" spans="2:3">
      <c r="B18" s="94" t="s">
        <v>27</v>
      </c>
      <c r="C18" s="95">
        <v>0.2</v>
      </c>
    </row>
    <row r="19" spans="2:3">
      <c r="B19" s="94" t="s">
        <v>528</v>
      </c>
      <c r="C19" s="95">
        <f>ROUNDUP(C16*C17*C18,2)</f>
        <v>0.47000000000000003</v>
      </c>
    </row>
    <row r="20" spans="2:3">
      <c r="B20" s="94" t="s">
        <v>529</v>
      </c>
      <c r="C20" s="95">
        <f>ROUNDDOWN(C16*C18*2,2)</f>
        <v>6.24</v>
      </c>
    </row>
    <row r="21" spans="2:3">
      <c r="B21" s="94" t="s">
        <v>530</v>
      </c>
      <c r="C21" s="95">
        <f>ROUNDUP(4*C16*0.617,2)</f>
        <v>38.51</v>
      </c>
    </row>
    <row r="22" spans="2:3">
      <c r="B22" s="94" t="s">
        <v>531</v>
      </c>
      <c r="C22" s="95">
        <f>ROUNDDOWN(ROUNDUP(C16/0.2,0)*((C17-0.06)*2+(C18-0.06)*2)*0.154,2)</f>
        <v>5.52</v>
      </c>
    </row>
    <row r="23" spans="2:3">
      <c r="B23" s="94" t="s">
        <v>532</v>
      </c>
      <c r="C23" s="95">
        <f>ROUNDUP(C16*C17*0.05,2)</f>
        <v>0.12</v>
      </c>
    </row>
    <row r="24" spans="2:3">
      <c r="B24" s="94" t="s">
        <v>533</v>
      </c>
      <c r="C24" s="95">
        <f>C20+C16*C17</f>
        <v>8.58</v>
      </c>
    </row>
    <row r="25" spans="2:3">
      <c r="B25" s="94" t="s">
        <v>366</v>
      </c>
      <c r="C25" s="95">
        <f>ROUNDUP(1*15.6*0.15,2)</f>
        <v>2.34</v>
      </c>
    </row>
  </sheetData>
  <mergeCells count="2">
    <mergeCell ref="B3:C3"/>
    <mergeCell ref="B15:C15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6"/>
  <sheetViews>
    <sheetView workbookViewId="0">
      <selection activeCell="J20" activeCellId="1" sqref="N9 J20"/>
    </sheetView>
  </sheetViews>
  <sheetFormatPr defaultRowHeight="12"/>
  <cols>
    <col min="1" max="6" width="9.140625" style="1"/>
    <col min="7" max="7" width="20.5703125" style="1" bestFit="1" customWidth="1"/>
    <col min="8" max="10" width="15.85546875" style="1" bestFit="1" customWidth="1"/>
    <col min="11" max="12" width="9.140625" style="1"/>
    <col min="13" max="13" width="26.85546875" style="1" bestFit="1" customWidth="1"/>
    <col min="14" max="14" width="10.140625" style="1" customWidth="1"/>
    <col min="15" max="16384" width="9.140625" style="1"/>
  </cols>
  <sheetData>
    <row r="2" spans="3:14">
      <c r="C2" s="290" t="s">
        <v>561</v>
      </c>
      <c r="D2" s="290"/>
      <c r="E2" s="290"/>
      <c r="F2" s="290"/>
      <c r="G2" s="290"/>
      <c r="H2" s="290"/>
      <c r="I2" s="290"/>
      <c r="J2" s="290"/>
      <c r="M2" s="290" t="s">
        <v>562</v>
      </c>
      <c r="N2" s="290"/>
    </row>
    <row r="3" spans="3:14">
      <c r="C3" s="94" t="s">
        <v>541</v>
      </c>
      <c r="D3" s="94" t="s">
        <v>558</v>
      </c>
      <c r="E3" s="94" t="s">
        <v>559</v>
      </c>
      <c r="F3" s="94" t="s">
        <v>27</v>
      </c>
      <c r="G3" s="94" t="s">
        <v>528</v>
      </c>
      <c r="H3" s="94" t="s">
        <v>560</v>
      </c>
      <c r="I3" s="94" t="s">
        <v>530</v>
      </c>
      <c r="J3" s="94" t="s">
        <v>531</v>
      </c>
      <c r="M3" s="94" t="s">
        <v>563</v>
      </c>
      <c r="N3" s="95">
        <f>35.03+3.17</f>
        <v>38.200000000000003</v>
      </c>
    </row>
    <row r="4" spans="3:14">
      <c r="C4" s="94" t="s">
        <v>542</v>
      </c>
      <c r="D4" s="95">
        <v>0.15</v>
      </c>
      <c r="E4" s="95">
        <v>0.24</v>
      </c>
      <c r="F4" s="95">
        <v>4.0999999999999996</v>
      </c>
      <c r="G4" s="95">
        <f>D4*E4*F4</f>
        <v>0.14759999999999998</v>
      </c>
      <c r="H4" s="95">
        <f>(D4+E4)*2*F4</f>
        <v>3.198</v>
      </c>
      <c r="I4" s="95">
        <f>6*F4*0.617</f>
        <v>15.178199999999999</v>
      </c>
      <c r="J4" s="95">
        <f>ROUNDUP(F4/0.2,0)*((D4-0.06)*2+(E4-0.06)*2)*0.154</f>
        <v>1.7463599999999999</v>
      </c>
      <c r="M4" s="94" t="s">
        <v>527</v>
      </c>
      <c r="N4" s="95">
        <v>0.15</v>
      </c>
    </row>
    <row r="5" spans="3:14">
      <c r="C5" s="94" t="s">
        <v>543</v>
      </c>
      <c r="D5" s="95">
        <v>0.15</v>
      </c>
      <c r="E5" s="129">
        <v>0.24</v>
      </c>
      <c r="F5" s="95">
        <v>4.0999999999999996</v>
      </c>
      <c r="G5" s="95">
        <f t="shared" ref="G5:G19" si="0">D5*E5*F5</f>
        <v>0.14759999999999998</v>
      </c>
      <c r="H5" s="95">
        <f t="shared" ref="H5:H19" si="1">(D5+E5)*2*F5</f>
        <v>3.198</v>
      </c>
      <c r="I5" s="129">
        <f t="shared" ref="I5:I15" si="2">6*F5*0.617</f>
        <v>15.178199999999999</v>
      </c>
      <c r="J5" s="95">
        <f t="shared" ref="J5:J19" si="3">ROUNDUP(F5/0.2,0)*((D5-0.06)*2+(E5-0.06)*2)*0.154</f>
        <v>1.7463599999999999</v>
      </c>
      <c r="M5" s="94" t="s">
        <v>27</v>
      </c>
      <c r="N5" s="95">
        <v>0.5</v>
      </c>
    </row>
    <row r="6" spans="3:14">
      <c r="C6" s="94" t="s">
        <v>544</v>
      </c>
      <c r="D6" s="95">
        <v>0.15</v>
      </c>
      <c r="E6" s="129">
        <v>0.24</v>
      </c>
      <c r="F6" s="95">
        <v>4.0999999999999996</v>
      </c>
      <c r="G6" s="95">
        <f t="shared" si="0"/>
        <v>0.14759999999999998</v>
      </c>
      <c r="H6" s="95">
        <f t="shared" si="1"/>
        <v>3.198</v>
      </c>
      <c r="I6" s="129">
        <f t="shared" si="2"/>
        <v>15.178199999999999</v>
      </c>
      <c r="J6" s="95">
        <f t="shared" si="3"/>
        <v>1.7463599999999999</v>
      </c>
      <c r="M6" s="94" t="s">
        <v>528</v>
      </c>
      <c r="N6" s="95">
        <f>ROUNDUP(N3*N4*N5,2)</f>
        <v>2.8699999999999997</v>
      </c>
    </row>
    <row r="7" spans="3:14">
      <c r="C7" s="94" t="s">
        <v>545</v>
      </c>
      <c r="D7" s="95">
        <v>0.15</v>
      </c>
      <c r="E7" s="129">
        <v>0.24</v>
      </c>
      <c r="F7" s="95">
        <v>3</v>
      </c>
      <c r="G7" s="95">
        <f t="shared" si="0"/>
        <v>0.10799999999999998</v>
      </c>
      <c r="H7" s="95">
        <f t="shared" si="1"/>
        <v>2.34</v>
      </c>
      <c r="I7" s="129">
        <f t="shared" si="2"/>
        <v>11.106</v>
      </c>
      <c r="J7" s="95">
        <f t="shared" si="3"/>
        <v>1.2474000000000003</v>
      </c>
      <c r="M7" s="94" t="s">
        <v>529</v>
      </c>
      <c r="N7" s="95">
        <f>ROUNDDOWN(N3*N5*2,2)</f>
        <v>38.200000000000003</v>
      </c>
    </row>
    <row r="8" spans="3:14">
      <c r="C8" s="94" t="s">
        <v>546</v>
      </c>
      <c r="D8" s="95">
        <v>0.15</v>
      </c>
      <c r="E8" s="129">
        <v>0.24</v>
      </c>
      <c r="F8" s="95">
        <v>3</v>
      </c>
      <c r="G8" s="95">
        <f t="shared" si="0"/>
        <v>0.10799999999999998</v>
      </c>
      <c r="H8" s="95">
        <f t="shared" si="1"/>
        <v>2.34</v>
      </c>
      <c r="I8" s="129">
        <f t="shared" si="2"/>
        <v>11.106</v>
      </c>
      <c r="J8" s="95">
        <f t="shared" si="3"/>
        <v>1.2474000000000003</v>
      </c>
      <c r="M8" s="94" t="s">
        <v>530</v>
      </c>
      <c r="N8" s="95">
        <f>ROUNDUP(4*N3*0.617,2)</f>
        <v>94.28</v>
      </c>
    </row>
    <row r="9" spans="3:14">
      <c r="C9" s="94" t="s">
        <v>547</v>
      </c>
      <c r="D9" s="95">
        <v>0.15</v>
      </c>
      <c r="E9" s="129">
        <v>0.24</v>
      </c>
      <c r="F9" s="95">
        <v>3</v>
      </c>
      <c r="G9" s="95">
        <f t="shared" si="0"/>
        <v>0.10799999999999998</v>
      </c>
      <c r="H9" s="95">
        <f t="shared" si="1"/>
        <v>2.34</v>
      </c>
      <c r="I9" s="129">
        <f t="shared" si="2"/>
        <v>11.106</v>
      </c>
      <c r="J9" s="95">
        <f t="shared" si="3"/>
        <v>1.2474000000000003</v>
      </c>
      <c r="M9" s="94" t="s">
        <v>531</v>
      </c>
      <c r="N9" s="95">
        <f>ROUNDDOWN(ROUNDUP(N3/0.2,0)*((N4-0.06)*2+(N5-0.06)*2)*0.154,2)</f>
        <v>31.17</v>
      </c>
    </row>
    <row r="10" spans="3:14">
      <c r="C10" s="94" t="s">
        <v>548</v>
      </c>
      <c r="D10" s="95">
        <v>0.15</v>
      </c>
      <c r="E10" s="129">
        <v>0.24</v>
      </c>
      <c r="F10" s="95">
        <v>4.0999999999999996</v>
      </c>
      <c r="G10" s="95">
        <f t="shared" si="0"/>
        <v>0.14759999999999998</v>
      </c>
      <c r="H10" s="95">
        <f t="shared" si="1"/>
        <v>3.198</v>
      </c>
      <c r="I10" s="129">
        <f t="shared" si="2"/>
        <v>15.178199999999999</v>
      </c>
      <c r="J10" s="95">
        <f t="shared" si="3"/>
        <v>1.7463599999999999</v>
      </c>
    </row>
    <row r="11" spans="3:14">
      <c r="C11" s="94" t="s">
        <v>549</v>
      </c>
      <c r="D11" s="95">
        <v>0.15</v>
      </c>
      <c r="E11" s="129">
        <v>0.24</v>
      </c>
      <c r="F11" s="95">
        <v>4.0999999999999996</v>
      </c>
      <c r="G11" s="95">
        <f t="shared" si="0"/>
        <v>0.14759999999999998</v>
      </c>
      <c r="H11" s="95">
        <f t="shared" si="1"/>
        <v>3.198</v>
      </c>
      <c r="I11" s="129">
        <f t="shared" si="2"/>
        <v>15.178199999999999</v>
      </c>
      <c r="J11" s="95">
        <f t="shared" si="3"/>
        <v>1.7463599999999999</v>
      </c>
    </row>
    <row r="12" spans="3:14">
      <c r="C12" s="94" t="s">
        <v>550</v>
      </c>
      <c r="D12" s="95">
        <v>0.15</v>
      </c>
      <c r="E12" s="129">
        <v>0.24</v>
      </c>
      <c r="F12" s="95">
        <v>4.0999999999999996</v>
      </c>
      <c r="G12" s="95">
        <f t="shared" si="0"/>
        <v>0.14759999999999998</v>
      </c>
      <c r="H12" s="95">
        <f t="shared" si="1"/>
        <v>3.198</v>
      </c>
      <c r="I12" s="129">
        <f t="shared" si="2"/>
        <v>15.178199999999999</v>
      </c>
      <c r="J12" s="95">
        <f t="shared" si="3"/>
        <v>1.7463599999999999</v>
      </c>
    </row>
    <row r="13" spans="3:14">
      <c r="C13" s="94" t="s">
        <v>551</v>
      </c>
      <c r="D13" s="95">
        <v>0.15</v>
      </c>
      <c r="E13" s="129">
        <v>0.24</v>
      </c>
      <c r="F13" s="95">
        <v>3</v>
      </c>
      <c r="G13" s="95">
        <f t="shared" si="0"/>
        <v>0.10799999999999998</v>
      </c>
      <c r="H13" s="95">
        <f t="shared" si="1"/>
        <v>2.34</v>
      </c>
      <c r="I13" s="129">
        <f t="shared" si="2"/>
        <v>11.106</v>
      </c>
      <c r="J13" s="95">
        <f t="shared" si="3"/>
        <v>1.2474000000000003</v>
      </c>
    </row>
    <row r="14" spans="3:14">
      <c r="C14" s="94" t="s">
        <v>552</v>
      </c>
      <c r="D14" s="95">
        <v>0.15</v>
      </c>
      <c r="E14" s="129">
        <v>0.24</v>
      </c>
      <c r="F14" s="95">
        <v>3</v>
      </c>
      <c r="G14" s="95">
        <f t="shared" si="0"/>
        <v>0.10799999999999998</v>
      </c>
      <c r="H14" s="95">
        <f t="shared" si="1"/>
        <v>2.34</v>
      </c>
      <c r="I14" s="129">
        <f t="shared" si="2"/>
        <v>11.106</v>
      </c>
      <c r="J14" s="95">
        <f t="shared" si="3"/>
        <v>1.2474000000000003</v>
      </c>
    </row>
    <row r="15" spans="3:14">
      <c r="C15" s="94" t="s">
        <v>553</v>
      </c>
      <c r="D15" s="95">
        <v>0.15</v>
      </c>
      <c r="E15" s="129">
        <v>0.24</v>
      </c>
      <c r="F15" s="95">
        <v>3</v>
      </c>
      <c r="G15" s="95">
        <f t="shared" si="0"/>
        <v>0.10799999999999998</v>
      </c>
      <c r="H15" s="95">
        <f t="shared" si="1"/>
        <v>2.34</v>
      </c>
      <c r="I15" s="129">
        <f t="shared" si="2"/>
        <v>11.106</v>
      </c>
      <c r="J15" s="95">
        <f t="shared" si="3"/>
        <v>1.2474000000000003</v>
      </c>
    </row>
    <row r="16" spans="3:14">
      <c r="C16" s="94" t="s">
        <v>554</v>
      </c>
      <c r="D16" s="95">
        <v>0.15</v>
      </c>
      <c r="E16" s="129">
        <v>0.36</v>
      </c>
      <c r="F16" s="95">
        <v>3</v>
      </c>
      <c r="G16" s="95">
        <f t="shared" si="0"/>
        <v>0.16200000000000001</v>
      </c>
      <c r="H16" s="95">
        <f t="shared" si="1"/>
        <v>3.06</v>
      </c>
      <c r="I16" s="129">
        <f t="shared" ref="I16:I19" si="4">8*F16*0.617</f>
        <v>14.808</v>
      </c>
      <c r="J16" s="95">
        <f t="shared" si="3"/>
        <v>1.8018000000000001</v>
      </c>
    </row>
    <row r="17" spans="3:12">
      <c r="C17" s="94" t="s">
        <v>555</v>
      </c>
      <c r="D17" s="95">
        <v>0.15</v>
      </c>
      <c r="E17" s="129">
        <v>0.36</v>
      </c>
      <c r="F17" s="95">
        <v>3</v>
      </c>
      <c r="G17" s="95">
        <f t="shared" si="0"/>
        <v>0.16200000000000001</v>
      </c>
      <c r="H17" s="95">
        <f t="shared" si="1"/>
        <v>3.06</v>
      </c>
      <c r="I17" s="129">
        <f t="shared" si="4"/>
        <v>14.808</v>
      </c>
      <c r="J17" s="95">
        <f t="shared" si="3"/>
        <v>1.8018000000000001</v>
      </c>
    </row>
    <row r="18" spans="3:12">
      <c r="C18" s="94" t="s">
        <v>556</v>
      </c>
      <c r="D18" s="95">
        <v>0.15</v>
      </c>
      <c r="E18" s="129">
        <v>0.36</v>
      </c>
      <c r="F18" s="95">
        <v>3</v>
      </c>
      <c r="G18" s="95">
        <f t="shared" si="0"/>
        <v>0.16200000000000001</v>
      </c>
      <c r="H18" s="95">
        <f t="shared" si="1"/>
        <v>3.06</v>
      </c>
      <c r="I18" s="129">
        <f t="shared" si="4"/>
        <v>14.808</v>
      </c>
      <c r="J18" s="95">
        <f t="shared" si="3"/>
        <v>1.8018000000000001</v>
      </c>
    </row>
    <row r="19" spans="3:12">
      <c r="C19" s="94" t="s">
        <v>557</v>
      </c>
      <c r="D19" s="95">
        <v>0.15</v>
      </c>
      <c r="E19" s="129">
        <v>0.36</v>
      </c>
      <c r="F19" s="95">
        <v>3</v>
      </c>
      <c r="G19" s="95">
        <f t="shared" si="0"/>
        <v>0.16200000000000001</v>
      </c>
      <c r="H19" s="95">
        <f t="shared" si="1"/>
        <v>3.06</v>
      </c>
      <c r="I19" s="129">
        <f t="shared" si="4"/>
        <v>14.808</v>
      </c>
      <c r="J19" s="95">
        <f t="shared" si="3"/>
        <v>1.8018000000000001</v>
      </c>
    </row>
    <row r="20" spans="3:12">
      <c r="G20" s="79">
        <f>ROUNDUP(SUM(G4:G19),2)</f>
        <v>2.19</v>
      </c>
      <c r="H20" s="79">
        <f>ROUNDUP(SUM(H4:H19),2)</f>
        <v>45.47</v>
      </c>
      <c r="I20" s="79">
        <f t="shared" ref="I20" si="5">ROUNDUP(SUM(I4:I19),2)</f>
        <v>216.94</v>
      </c>
      <c r="J20" s="79">
        <f>ROUNDDOWN(SUM(J4:J19),2)</f>
        <v>25.16</v>
      </c>
      <c r="L20" s="45"/>
    </row>
    <row r="22" spans="3:12">
      <c r="I22" s="45"/>
    </row>
    <row r="25" spans="3:12">
      <c r="I25" s="140"/>
      <c r="J25" s="140"/>
    </row>
    <row r="26" spans="3:12">
      <c r="I26" s="140"/>
      <c r="J26" s="140"/>
    </row>
  </sheetData>
  <mergeCells count="2">
    <mergeCell ref="C2:J2"/>
    <mergeCell ref="M2:N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4</vt:i4>
      </vt:variant>
    </vt:vector>
  </HeadingPairs>
  <TitlesOfParts>
    <vt:vector size="19" baseType="lpstr">
      <vt:lpstr>MEMORIAL DE CÁLCULO E ANOTAÇÕES</vt:lpstr>
      <vt:lpstr>PLANILHA ORÇAMENTÁRIA</vt:lpstr>
      <vt:lpstr>CRONOGRAMA FÍSICO-FINANCEIRO</vt:lpstr>
      <vt:lpstr>BANHEIRA</vt:lpstr>
      <vt:lpstr>PLACAS CEGAS</vt:lpstr>
      <vt:lpstr>INSTALAÇÕES - ELÉTRICA</vt:lpstr>
      <vt:lpstr>COMPOSIÇÃO DO BDI</vt:lpstr>
      <vt:lpstr>FUNDAÇÃO</vt:lpstr>
      <vt:lpstr>ESTRUTURA</vt:lpstr>
      <vt:lpstr>ESQUADRIAS</vt:lpstr>
      <vt:lpstr>BANHEIRO AO LADO DA SALA PROF</vt:lpstr>
      <vt:lpstr>INSTALAÇÕES ELÉTRICAS</vt:lpstr>
      <vt:lpstr>ALVENARIA</vt:lpstr>
      <vt:lpstr>DEMOLIÇÃO DE ALVENARIA</vt:lpstr>
      <vt:lpstr>REVESTIMENTOS E PINTURA</vt:lpstr>
      <vt:lpstr>BANHEIRA!Area_de_impressao</vt:lpstr>
      <vt:lpstr>'CRONOGRAMA FÍSICO-FINANCEIRO'!Area_de_impressao</vt:lpstr>
      <vt:lpstr>'PLACAS CEGAS'!Area_de_impressao</vt:lpstr>
      <vt:lpstr>'PLANILHA ORÇAMENTÁRIA'!Area_de_impressao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Francine</dc:creator>
  <cp:lastModifiedBy>Licitacao02</cp:lastModifiedBy>
  <cp:lastPrinted>2023-06-07T18:45:01Z</cp:lastPrinted>
  <dcterms:created xsi:type="dcterms:W3CDTF">2021-04-12T11:05:00Z</dcterms:created>
  <dcterms:modified xsi:type="dcterms:W3CDTF">2023-08-08T19:32:28Z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1046-11.2.0.10114</vt:lpwstr>
  </property>
</Properties>
</file>