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PROCESSOS DE LICITAÇÃO\TOMADA DE PREÇO\Engenharia\Gradil CRAS_ 2023\"/>
    </mc:Choice>
  </mc:AlternateContent>
  <bookViews>
    <workbookView xWindow="0" yWindow="0" windowWidth="20730" windowHeight="11760"/>
  </bookViews>
  <sheets>
    <sheet name="PLANILHA ORÇAMENTÁRIA" sheetId="14" r:id="rId1"/>
    <sheet name="CRONOGRAMA FÍSICO-FINANCEIRO" sheetId="13" r:id="rId2"/>
    <sheet name="COMPOSIÇÃO DO BDI" sheetId="15" r:id="rId3"/>
    <sheet name="INSTALAÇÕES ELÉTRICAS" sheetId="12" state="hidden" r:id="rId4"/>
    <sheet name="ALVENARIA" sheetId="7" state="hidden" r:id="rId5"/>
    <sheet name="DEMOLIÇÃO DE ALVENARIA" sheetId="2" state="hidden" r:id="rId6"/>
    <sheet name="REVESTIMENTOS E PINTURA" sheetId="5" state="hidden" r:id="rId7"/>
  </sheets>
  <definedNames>
    <definedName name="_xlnm.Print_Area" localSheetId="1">'CRONOGRAMA FÍSICO-FINANCEIRO'!$B$1:$H$29</definedName>
    <definedName name="_xlnm.Print_Area" localSheetId="0">'PLANILHA ORÇAMENTÁRIA'!$A$1:$I$34</definedName>
    <definedName name="_xlnm.Database" localSheetId="2">#REF!</definedName>
    <definedName name="_xlnm.Database" localSheetId="0">#REF!</definedName>
    <definedName name="_xlnm.Database">#REF!</definedName>
    <definedName name="Comp.export" localSheetId="2">#REF!</definedName>
    <definedName name="Comp.export" localSheetId="0">#REF!</definedName>
    <definedName name="Comp.export">#REF!</definedName>
    <definedName name="CONCATENAR" localSheetId="2">CONCATENATE(#REF!," ",#REF!)</definedName>
    <definedName name="CONCATENAR" localSheetId="0">CONCATENATE(#REF!," ",#REF!)</definedName>
    <definedName name="CONCATENAR">CONCATENATE(#REF!," ",#REF!)</definedName>
    <definedName name="CONTEM" localSheetId="2">#REF!</definedName>
    <definedName name="CONTEM" localSheetId="0">#REF!</definedName>
    <definedName name="CONTEM">#REF!</definedName>
    <definedName name="Cot.LP.Banco" localSheetId="2">#REF!</definedName>
    <definedName name="Cot.LP.Banco" localSheetId="0">#REF!</definedName>
    <definedName name="Cot.LP.Banco">#REF!</definedName>
    <definedName name="Cot.LP.Cot" localSheetId="0">#REF!</definedName>
    <definedName name="Cot.LP.Cot">#REF!</definedName>
    <definedName name="Cot.LP.Cotacao" localSheetId="0">#REF!</definedName>
    <definedName name="Cot.LP.Cotacao">#REF!</definedName>
    <definedName name="Cot.LP.Empresa" localSheetId="0">#REF!</definedName>
    <definedName name="Cot.LP.Empresa">#REF!</definedName>
    <definedName name="Cot.LP.Indice" localSheetId="0">#REF!</definedName>
    <definedName name="Cot.LP.Indice">#REF!</definedName>
    <definedName name="DATAEMISSAO" localSheetId="0">#REF!</definedName>
    <definedName name="DATAEMISSAO">#REF!</definedName>
    <definedName name="DATART" localSheetId="0">#REF!</definedName>
    <definedName name="DATART">#REF!</definedName>
    <definedName name="EMPRESAS" localSheetId="2">OFFSET(#REF!,1,0):OFFSET(#REF!,-1,0)</definedName>
    <definedName name="EMPRESAS" localSheetId="0">OFFSET(#REF!,1,0):OFFSET(#REF!,-1,0)</definedName>
    <definedName name="EMPRESAS">OFFSET(#REF!,1,0):OFFSET(#REF!,-1,0)</definedName>
    <definedName name="FiltroComp" localSheetId="2">#REF!</definedName>
    <definedName name="FiltroComp" localSheetId="0">#REF!</definedName>
    <definedName name="FiltroComp">#REF!</definedName>
    <definedName name="FiltroCot" localSheetId="2">#REF!</definedName>
    <definedName name="FiltroCot" localSheetId="0">#REF!</definedName>
    <definedName name="FiltroCot">#REF!</definedName>
    <definedName name="INDICES" localSheetId="2">OFFSET(#REF!,1,0):OFFSET(#REF!,-1,0)</definedName>
    <definedName name="INDICES" localSheetId="0">OFFSET(#REF!,1,0):OFFSET(#REF!,-1,0)</definedName>
    <definedName name="INDICES">OFFSET(#REF!,1,0):OFFSET(#REF!,-1,0)</definedName>
    <definedName name="LOCALIDADE" localSheetId="2">#REF!</definedName>
    <definedName name="LOCALIDADE" localSheetId="0">#REF!</definedName>
    <definedName name="LOCALIDADE">#REF!</definedName>
    <definedName name="NAOCONTEM" localSheetId="2">#REF!</definedName>
    <definedName name="NAOCONTEM" localSheetId="0">#REF!</definedName>
    <definedName name="NAOCONTEM">#REF!</definedName>
    <definedName name="NCOMPOSICOES">104</definedName>
    <definedName name="NCOTACOES">25</definedName>
    <definedName name="NEMPRESAS">50</definedName>
    <definedName name="NINDICES">3</definedName>
    <definedName name="NRELATORIOS" localSheetId="0">COUNTA(#REF!)-2</definedName>
    <definedName name="NRELATORIOS">COUNTA(#REF!)-2</definedName>
    <definedName name="NumerEmpresa">50</definedName>
    <definedName name="NumerIndice">3</definedName>
    <definedName name="Objeto">"Referência"</definedName>
    <definedName name="ORÇAMENTO.BancoRef" localSheetId="2" hidden="1">#REF!</definedName>
    <definedName name="ORÇAMENTO.BancoRef" localSheetId="0" hidden="1">#REF!</definedName>
    <definedName name="ORÇAMENTO.BancoRef" hidden="1">#REF!</definedName>
    <definedName name="pp">#REF!</definedName>
    <definedName name="REFERENCIA.Descricao" localSheetId="2" hidden="1">IF(ISNUMBER(#REF!),OFFSET(INDIRECT('COMPOSIÇÃO DO BDI'!ORÇAMENTO.BancoRef),#REF!-1,3,1),#REF!)</definedName>
    <definedName name="REFERENCIA.Descricao" localSheetId="0" hidden="1">IF(ISNUMBER(#REF!),OFFSET(INDIRECT('PLANILHA ORÇAMENTÁRIA'!ORÇAMENTO.BancoRef),#REF!-1,3,1),#REF!)</definedName>
    <definedName name="REFERENCIA.Descricao" hidden="1">IF(ISNUMBER(#REF!),OFFSET(INDIRECT(ORÇAMENTO.BancoRef),#REF!-1,3,1),#REF!)</definedName>
    <definedName name="RelatoriosFontes" localSheetId="2">OFFSET(#REF!,1,0,NRELATORIOS)</definedName>
    <definedName name="RelatoriosFontes" localSheetId="0">OFFSET(#REF!,1,0,'PLANILHA ORÇAMENTÁRIA'!NRELATORIOS)</definedName>
    <definedName name="RelatoriosFontes">OFFSET(#REF!,1,0,NRELATORIOS)</definedName>
    <definedName name="SENHAGT" hidden="1">"PM2CAIXA"</definedName>
  </definedNames>
  <calcPr calcId="162913"/>
</workbook>
</file>

<file path=xl/calcChain.xml><?xml version="1.0" encoding="utf-8"?>
<calcChain xmlns="http://schemas.openxmlformats.org/spreadsheetml/2006/main">
  <c r="D23" i="14" l="1"/>
  <c r="D22" i="14"/>
  <c r="D16" i="14"/>
  <c r="D17" i="14" s="1"/>
  <c r="D13" i="14"/>
  <c r="D12" i="14"/>
  <c r="D15" i="14"/>
  <c r="D18" i="14" l="1"/>
  <c r="D25" i="14"/>
  <c r="D20" i="14"/>
  <c r="D19" i="14"/>
  <c r="D16" i="15"/>
  <c r="D19" i="15" s="1"/>
  <c r="H8" i="14" l="1"/>
  <c r="G26" i="14" s="1"/>
  <c r="G25" i="14" l="1"/>
  <c r="H25" i="14"/>
  <c r="H16" i="14"/>
  <c r="G12" i="14"/>
  <c r="G17" i="14"/>
  <c r="G13" i="14"/>
  <c r="H12" i="14"/>
  <c r="H13" i="14"/>
  <c r="H18" i="14"/>
  <c r="H15" i="14"/>
  <c r="H22" i="14"/>
  <c r="H17" i="14"/>
  <c r="G23" i="14"/>
  <c r="H19" i="14"/>
  <c r="G22" i="14"/>
  <c r="G15" i="14"/>
  <c r="G16" i="14"/>
  <c r="G18" i="14"/>
  <c r="G19" i="14"/>
  <c r="G20" i="14"/>
  <c r="H20" i="14"/>
  <c r="H23" i="14"/>
  <c r="D26" i="14"/>
  <c r="H26" i="14" s="1"/>
  <c r="H21" i="14" l="1"/>
  <c r="H14" i="14"/>
  <c r="C9" i="7"/>
  <c r="D14" i="7" l="1"/>
  <c r="D13" i="7"/>
  <c r="D12" i="7"/>
  <c r="D11" i="7"/>
  <c r="D10" i="7"/>
  <c r="D7" i="7"/>
  <c r="D6" i="7"/>
  <c r="D5" i="7"/>
  <c r="D15" i="7" s="1"/>
  <c r="G11" i="14"/>
  <c r="D11" i="14"/>
  <c r="H11" i="14" s="1"/>
  <c r="H10" i="14" s="1"/>
  <c r="D10" i="13" s="1"/>
  <c r="D14" i="13" l="1"/>
  <c r="H24" i="14"/>
  <c r="D16" i="13" l="1"/>
  <c r="C22" i="5"/>
  <c r="C3" i="7"/>
  <c r="H125" i="12"/>
  <c r="H124" i="12"/>
  <c r="L124" i="12" s="1"/>
  <c r="M124" i="12" s="1"/>
  <c r="H123" i="12"/>
  <c r="L123" i="12" s="1"/>
  <c r="M123" i="12" s="1"/>
  <c r="H122" i="12"/>
  <c r="L122" i="12" s="1"/>
  <c r="M122" i="12" s="1"/>
  <c r="H121" i="12"/>
  <c r="L121" i="12" s="1"/>
  <c r="M121" i="12" s="1"/>
  <c r="H120" i="12"/>
  <c r="L120" i="12" s="1"/>
  <c r="M120" i="12" s="1"/>
  <c r="H119" i="12"/>
  <c r="L118" i="12"/>
  <c r="M118" i="12" s="1"/>
  <c r="L119" i="12"/>
  <c r="M119" i="12" s="1"/>
  <c r="L125" i="12"/>
  <c r="M125" i="12" s="1"/>
  <c r="H118" i="12"/>
  <c r="H117" i="12"/>
  <c r="L117" i="12" s="1"/>
  <c r="M117" i="12" s="1"/>
  <c r="H116" i="12"/>
  <c r="L116" i="12" s="1"/>
  <c r="M116" i="12" s="1"/>
  <c r="H115" i="12"/>
  <c r="L115" i="12" s="1"/>
  <c r="M115" i="12" s="1"/>
  <c r="H114" i="12"/>
  <c r="L114" i="12" s="1"/>
  <c r="M114" i="12" s="1"/>
  <c r="H113" i="12"/>
  <c r="L113" i="12" s="1"/>
  <c r="M113" i="12" s="1"/>
  <c r="H112" i="12"/>
  <c r="L112" i="12" s="1"/>
  <c r="M112" i="12" s="1"/>
  <c r="H111" i="12"/>
  <c r="L111" i="12" s="1"/>
  <c r="M111" i="12" s="1"/>
  <c r="H110" i="12"/>
  <c r="L110" i="12" s="1"/>
  <c r="M110" i="12" s="1"/>
  <c r="H109" i="12"/>
  <c r="L109" i="12" s="1"/>
  <c r="M109" i="12" s="1"/>
  <c r="H108" i="12"/>
  <c r="L108" i="12" s="1"/>
  <c r="M108" i="12" s="1"/>
  <c r="H107" i="12"/>
  <c r="L107" i="12" s="1"/>
  <c r="M107" i="12" s="1"/>
  <c r="H106" i="12"/>
  <c r="L106" i="12" s="1"/>
  <c r="M106" i="12" s="1"/>
  <c r="H105" i="12"/>
  <c r="L105" i="12" s="1"/>
  <c r="M105" i="12" s="1"/>
  <c r="H104" i="12"/>
  <c r="L104" i="12" s="1"/>
  <c r="M104" i="12" s="1"/>
  <c r="H103" i="12"/>
  <c r="L103" i="12" s="1"/>
  <c r="M103" i="12" s="1"/>
  <c r="H102" i="12"/>
  <c r="L102" i="12" s="1"/>
  <c r="M102" i="12" s="1"/>
  <c r="H101" i="12"/>
  <c r="L101" i="12" s="1"/>
  <c r="M101" i="12" s="1"/>
  <c r="H100" i="12"/>
  <c r="L100" i="12" s="1"/>
  <c r="M100" i="12" s="1"/>
  <c r="H99" i="12"/>
  <c r="L99" i="12" s="1"/>
  <c r="M99" i="12" s="1"/>
  <c r="H98" i="12"/>
  <c r="L98" i="12" s="1"/>
  <c r="M98" i="12" s="1"/>
  <c r="H97" i="12"/>
  <c r="L97" i="12" s="1"/>
  <c r="M97" i="12" s="1"/>
  <c r="H96" i="12"/>
  <c r="L96" i="12" s="1"/>
  <c r="M96" i="12" s="1"/>
  <c r="H95" i="12"/>
  <c r="L95" i="12" s="1"/>
  <c r="M95" i="12" s="1"/>
  <c r="H94" i="12"/>
  <c r="L94" i="12" s="1"/>
  <c r="M94" i="12" s="1"/>
  <c r="H93" i="12"/>
  <c r="L93" i="12" s="1"/>
  <c r="M93" i="12" s="1"/>
  <c r="H92" i="12"/>
  <c r="L92" i="12" s="1"/>
  <c r="M92" i="12" s="1"/>
  <c r="H91" i="12"/>
  <c r="L91" i="12" s="1"/>
  <c r="M91" i="12" s="1"/>
  <c r="H90" i="12"/>
  <c r="L90" i="12" s="1"/>
  <c r="M90" i="12" s="1"/>
  <c r="H89" i="12"/>
  <c r="L89" i="12" s="1"/>
  <c r="M89" i="12" s="1"/>
  <c r="H88" i="12"/>
  <c r="L88" i="12" s="1"/>
  <c r="M88" i="12" s="1"/>
  <c r="H87" i="12"/>
  <c r="L87" i="12" s="1"/>
  <c r="M87" i="12" s="1"/>
  <c r="H86" i="12"/>
  <c r="L86" i="12" s="1"/>
  <c r="M86" i="12" s="1"/>
  <c r="H85" i="12"/>
  <c r="L85" i="12" s="1"/>
  <c r="M85" i="12" s="1"/>
  <c r="H84" i="12"/>
  <c r="L84" i="12" s="1"/>
  <c r="M84" i="12" s="1"/>
  <c r="H83" i="12"/>
  <c r="L83" i="12" s="1"/>
  <c r="M83" i="12" s="1"/>
  <c r="H82" i="12"/>
  <c r="L82" i="12" s="1"/>
  <c r="M82" i="12" s="1"/>
  <c r="H81" i="12"/>
  <c r="L81" i="12" s="1"/>
  <c r="M81" i="12" s="1"/>
  <c r="H80" i="12"/>
  <c r="L80" i="12" s="1"/>
  <c r="M80" i="12" s="1"/>
  <c r="H79" i="12"/>
  <c r="L79" i="12" s="1"/>
  <c r="M79" i="12" s="1"/>
  <c r="H78" i="12"/>
  <c r="L78" i="12" s="1"/>
  <c r="M78" i="12" s="1"/>
  <c r="H77" i="12"/>
  <c r="L77" i="12" s="1"/>
  <c r="M77" i="12" s="1"/>
  <c r="H76" i="12"/>
  <c r="L76" i="12" s="1"/>
  <c r="M76" i="12" s="1"/>
  <c r="H75" i="12"/>
  <c r="L75" i="12" s="1"/>
  <c r="M75" i="12" s="1"/>
  <c r="H74" i="12"/>
  <c r="L74" i="12" s="1"/>
  <c r="M74" i="12" s="1"/>
  <c r="H73" i="12"/>
  <c r="L73" i="12" s="1"/>
  <c r="M73" i="12" s="1"/>
  <c r="H72" i="12"/>
  <c r="L72" i="12" s="1"/>
  <c r="M72" i="12" s="1"/>
  <c r="H71" i="12"/>
  <c r="L71" i="12" s="1"/>
  <c r="M71" i="12" s="1"/>
  <c r="H70" i="12"/>
  <c r="L70" i="12" s="1"/>
  <c r="M70" i="12" s="1"/>
  <c r="H69" i="12"/>
  <c r="L69" i="12" s="1"/>
  <c r="M69" i="12" s="1"/>
  <c r="H68" i="12"/>
  <c r="L68" i="12" s="1"/>
  <c r="M68" i="12" s="1"/>
  <c r="H67" i="12"/>
  <c r="L67" i="12" s="1"/>
  <c r="M67" i="12" s="1"/>
  <c r="H66" i="12"/>
  <c r="L66" i="12" s="1"/>
  <c r="M66" i="12" s="1"/>
  <c r="H65" i="12"/>
  <c r="L65" i="12" s="1"/>
  <c r="M65" i="12" s="1"/>
  <c r="H64" i="12"/>
  <c r="L64" i="12" s="1"/>
  <c r="M64" i="12" s="1"/>
  <c r="H63" i="12"/>
  <c r="L63" i="12" s="1"/>
  <c r="M63" i="12" s="1"/>
  <c r="H62" i="12"/>
  <c r="L62" i="12" s="1"/>
  <c r="M62" i="12" s="1"/>
  <c r="H61" i="12"/>
  <c r="L61" i="12" s="1"/>
  <c r="M61" i="12" s="1"/>
  <c r="H60" i="12"/>
  <c r="L60" i="12" s="1"/>
  <c r="M60" i="12" s="1"/>
  <c r="H59" i="12"/>
  <c r="L59" i="12" s="1"/>
  <c r="M59" i="12" s="1"/>
  <c r="H58" i="12"/>
  <c r="L58" i="12" s="1"/>
  <c r="M58" i="12" s="1"/>
  <c r="H57" i="12"/>
  <c r="L57" i="12" s="1"/>
  <c r="M57" i="12" s="1"/>
  <c r="H56" i="12"/>
  <c r="L56" i="12" s="1"/>
  <c r="M56" i="12" s="1"/>
  <c r="H55" i="12"/>
  <c r="L55" i="12" s="1"/>
  <c r="M55" i="12" s="1"/>
  <c r="H54" i="12"/>
  <c r="L54" i="12" s="1"/>
  <c r="M54" i="12" s="1"/>
  <c r="H53" i="12"/>
  <c r="L53" i="12" s="1"/>
  <c r="M53" i="12" s="1"/>
  <c r="H52" i="12"/>
  <c r="L52" i="12" s="1"/>
  <c r="M52" i="12" s="1"/>
  <c r="H51" i="12"/>
  <c r="L51" i="12" s="1"/>
  <c r="L126" i="12" l="1"/>
  <c r="I44" i="12"/>
  <c r="M44" i="12" s="1"/>
  <c r="K44" i="12"/>
  <c r="N19" i="12"/>
  <c r="P19" i="12"/>
  <c r="O19" i="12"/>
  <c r="K19" i="12"/>
  <c r="H19" i="12"/>
  <c r="M19" i="12"/>
  <c r="K43" i="12"/>
  <c r="K42" i="12"/>
  <c r="K41" i="12"/>
  <c r="K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45" i="12" l="1"/>
  <c r="K45" i="12"/>
  <c r="C42" i="5"/>
  <c r="C43" i="5" s="1"/>
  <c r="E9" i="5"/>
  <c r="E10" i="5"/>
  <c r="E11" i="5"/>
  <c r="E12" i="5"/>
  <c r="E13" i="5"/>
  <c r="E14" i="5"/>
  <c r="E15" i="5"/>
  <c r="E16" i="5"/>
  <c r="E17" i="5"/>
  <c r="C21" i="5"/>
  <c r="E21" i="5" s="1"/>
  <c r="C23" i="5"/>
  <c r="E23" i="5" s="1"/>
  <c r="H6" i="5" l="1"/>
  <c r="C8" i="5"/>
  <c r="E8" i="5" s="1"/>
  <c r="C7" i="5"/>
  <c r="E7" i="5" s="1"/>
  <c r="C6" i="5"/>
  <c r="E6" i="5" s="1"/>
  <c r="C5" i="5"/>
  <c r="C4" i="7"/>
  <c r="C14" i="7"/>
  <c r="C13" i="7"/>
  <c r="C12" i="7"/>
  <c r="C11" i="7"/>
  <c r="C10" i="7"/>
  <c r="C8" i="7"/>
  <c r="C7" i="7"/>
  <c r="C6" i="7"/>
  <c r="C5" i="7"/>
  <c r="E5" i="5" l="1"/>
  <c r="H7" i="5"/>
  <c r="H5" i="5"/>
  <c r="C15" i="7"/>
  <c r="H27" i="14" l="1"/>
  <c r="D12" i="13"/>
  <c r="E21" i="13" s="1"/>
  <c r="I17" i="14" l="1"/>
  <c r="I18" i="14"/>
  <c r="I23" i="14"/>
  <c r="I12" i="14"/>
  <c r="I25" i="14"/>
  <c r="I16" i="14"/>
  <c r="I26" i="14"/>
  <c r="I14" i="14"/>
  <c r="I24" i="14"/>
  <c r="I13" i="14"/>
  <c r="I22" i="14"/>
  <c r="I20" i="14"/>
  <c r="I15" i="14"/>
  <c r="I19" i="14"/>
  <c r="I21" i="14"/>
  <c r="I11" i="14"/>
  <c r="I10" i="14"/>
  <c r="I27" i="14" l="1"/>
  <c r="K126" i="12"/>
  <c r="J126" i="12"/>
  <c r="M51" i="12"/>
  <c r="M126" i="12" s="1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23" i="12"/>
  <c r="M45" i="12" l="1"/>
  <c r="N126" i="12" l="1"/>
  <c r="F7" i="2" l="1"/>
  <c r="F8" i="2" l="1"/>
  <c r="F4" i="2" l="1"/>
  <c r="F5" i="2"/>
  <c r="F6" i="2"/>
  <c r="F3" i="2"/>
  <c r="F9" i="2" l="1"/>
  <c r="D18" i="13" l="1"/>
  <c r="E22" i="13"/>
  <c r="E19" i="13" l="1"/>
  <c r="E20" i="13" s="1"/>
</calcChain>
</file>

<file path=xl/sharedStrings.xml><?xml version="1.0" encoding="utf-8"?>
<sst xmlns="http://schemas.openxmlformats.org/spreadsheetml/2006/main" count="340" uniqueCount="275">
  <si>
    <t>Item</t>
  </si>
  <si>
    <t>Descrição</t>
  </si>
  <si>
    <t>Quantidade</t>
  </si>
  <si>
    <t>Unidade</t>
  </si>
  <si>
    <t>Custo unitário (sem BDI)</t>
  </si>
  <si>
    <t>m²</t>
  </si>
  <si>
    <t>m³</t>
  </si>
  <si>
    <t>m</t>
  </si>
  <si>
    <t>PLANILHA ORÇAMENTÁRIA</t>
  </si>
  <si>
    <t>OBRA</t>
  </si>
  <si>
    <t>BDI</t>
  </si>
  <si>
    <t>DATA</t>
  </si>
  <si>
    <t>ENDEREÇO</t>
  </si>
  <si>
    <t>OBSERVAÇÕES:</t>
  </si>
  <si>
    <t>DIRETORIA DE ENGENHARIA</t>
  </si>
  <si>
    <t>CNPJ nº 46.634.127/0001-63</t>
  </si>
  <si>
    <t>PREFEITURA MUNICIPAL DE ITATINGA/SP</t>
  </si>
  <si>
    <t>Espessura (m)</t>
  </si>
  <si>
    <t>Volume (m³)</t>
  </si>
  <si>
    <t>Comprimento (m)</t>
  </si>
  <si>
    <t>Altura (m)</t>
  </si>
  <si>
    <t>Total</t>
  </si>
  <si>
    <t>Placa em lona com impressão digital e estrutura em madeira</t>
  </si>
  <si>
    <t>PINTURA</t>
  </si>
  <si>
    <t>Tinta acrílica antimofo em massa, inclusive preparo</t>
  </si>
  <si>
    <t>Massa corrida à base de resina acrílica</t>
  </si>
  <si>
    <t>Demolição de paredes</t>
  </si>
  <si>
    <t>Pintura interna</t>
  </si>
  <si>
    <t>TOTAL</t>
  </si>
  <si>
    <t>Estrutura metálica da cobertura com telhas sanduíche</t>
  </si>
  <si>
    <t>TOTAL (m²)</t>
  </si>
  <si>
    <t>Área de alvenaria (m²)</t>
  </si>
  <si>
    <t>Serviço</t>
  </si>
  <si>
    <t>Acrílica</t>
  </si>
  <si>
    <t>Pintura externa</t>
  </si>
  <si>
    <t>Massa corrida</t>
  </si>
  <si>
    <t>ITEM</t>
  </si>
  <si>
    <t>ETAPAS CONSTRUTIVAS</t>
  </si>
  <si>
    <t>TOTAL DO ITEM</t>
  </si>
  <si>
    <t>MÊS 01</t>
  </si>
  <si>
    <t>%</t>
  </si>
  <si>
    <t>% DO MÊS</t>
  </si>
  <si>
    <t>% ACUMULADA</t>
  </si>
  <si>
    <t>TOTAL DO MÊS</t>
  </si>
  <si>
    <t>TOTAL ACUMULADO</t>
  </si>
  <si>
    <t>CRONOGRAMA FÍSICO-FINANCEIRO</t>
  </si>
  <si>
    <t>PRAZO</t>
  </si>
  <si>
    <t>Preço total (R$)</t>
  </si>
  <si>
    <t>Ambiente</t>
  </si>
  <si>
    <t>Tomadas simples</t>
  </si>
  <si>
    <t>Tomadas duplas</t>
  </si>
  <si>
    <t>Baixas</t>
  </si>
  <si>
    <t>Médias</t>
  </si>
  <si>
    <t>Altas (AC)</t>
  </si>
  <si>
    <t>Luminárias</t>
  </si>
  <si>
    <t>WC Masculino</t>
  </si>
  <si>
    <t>WC Feminino</t>
  </si>
  <si>
    <t>Interruptores</t>
  </si>
  <si>
    <t>Paralelo 1</t>
  </si>
  <si>
    <t>Paralelo 2</t>
  </si>
  <si>
    <t>Trecho</t>
  </si>
  <si>
    <t>IL-01</t>
  </si>
  <si>
    <t>IL-02</t>
  </si>
  <si>
    <t>IL-03</t>
  </si>
  <si>
    <t>IL-04</t>
  </si>
  <si>
    <t>IL-05</t>
  </si>
  <si>
    <t>IL-06</t>
  </si>
  <si>
    <t>IL-07</t>
  </si>
  <si>
    <t>IL-08</t>
  </si>
  <si>
    <t>IL-09</t>
  </si>
  <si>
    <t>IL-10</t>
  </si>
  <si>
    <t>IL-11</t>
  </si>
  <si>
    <t>IL-12</t>
  </si>
  <si>
    <t>IL-13</t>
  </si>
  <si>
    <t>IL-14</t>
  </si>
  <si>
    <t>IL-15</t>
  </si>
  <si>
    <t>IL-16</t>
  </si>
  <si>
    <t>IL-17</t>
  </si>
  <si>
    <t>IL-18</t>
  </si>
  <si>
    <t>IL-19</t>
  </si>
  <si>
    <t>IL-20</t>
  </si>
  <si>
    <t>IL-21</t>
  </si>
  <si>
    <t>IL-22</t>
  </si>
  <si>
    <t>Quantidade de cabos</t>
  </si>
  <si>
    <t>Cabo 2,50 mm² (m)</t>
  </si>
  <si>
    <t>Eletroduto 25 mm (m)</t>
  </si>
  <si>
    <t>ILUMINAÇÃO</t>
  </si>
  <si>
    <t>TOMADAS</t>
  </si>
  <si>
    <t>T-01</t>
  </si>
  <si>
    <t>T-02</t>
  </si>
  <si>
    <t>T-03</t>
  </si>
  <si>
    <t>T-04</t>
  </si>
  <si>
    <t>T-05</t>
  </si>
  <si>
    <t>T-06</t>
  </si>
  <si>
    <t>T-07</t>
  </si>
  <si>
    <t>T-08</t>
  </si>
  <si>
    <t>T-09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</si>
  <si>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</si>
  <si>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</si>
  <si>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</si>
  <si>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</si>
  <si>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</si>
  <si>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</si>
  <si>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</si>
  <si>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</si>
  <si>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</si>
  <si>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</si>
  <si>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</si>
  <si>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T-21</t>
  </si>
  <si>
    <t>T-22</t>
  </si>
  <si>
    <t>T-23</t>
  </si>
  <si>
    <t>T-24</t>
  </si>
  <si>
    <t>T-25</t>
  </si>
  <si>
    <t>T-26</t>
  </si>
  <si>
    <t>T-27</t>
  </si>
  <si>
    <t>T-28</t>
  </si>
  <si>
    <t>T-29</t>
  </si>
  <si>
    <t>T-30</t>
  </si>
  <si>
    <t>T-31</t>
  </si>
  <si>
    <t>T-32</t>
  </si>
  <si>
    <t>T-33</t>
  </si>
  <si>
    <t>T-34</t>
  </si>
  <si>
    <t>T-35</t>
  </si>
  <si>
    <t>T-36</t>
  </si>
  <si>
    <t>T-37</t>
  </si>
  <si>
    <t>T-38</t>
  </si>
  <si>
    <t>Eletrocalha (m)</t>
  </si>
  <si>
    <t>Perfilado (m)</t>
  </si>
  <si>
    <t>TAC-1</t>
  </si>
  <si>
    <t>TAC-2</t>
  </si>
  <si>
    <t>TAC-3</t>
  </si>
  <si>
    <t>TAC-4</t>
  </si>
  <si>
    <t>TAC-5</t>
  </si>
  <si>
    <t>TAC-6</t>
  </si>
  <si>
    <t>TAC-7</t>
  </si>
  <si>
    <t>TAC-8</t>
  </si>
  <si>
    <t>Fundo Social</t>
  </si>
  <si>
    <t>Guarda Municipal</t>
  </si>
  <si>
    <t>Recepção / Sala de Espera / Circulação</t>
  </si>
  <si>
    <t>Sala Multiuso</t>
  </si>
  <si>
    <t>Copa/Cozinha</t>
  </si>
  <si>
    <t>W.C. Funcionários</t>
  </si>
  <si>
    <t>Sala Odontológica</t>
  </si>
  <si>
    <t>Sala Esterilização</t>
  </si>
  <si>
    <t>Sala Atendimento Médico</t>
  </si>
  <si>
    <t>Sala de Curativos</t>
  </si>
  <si>
    <t>Sala de Higienização</t>
  </si>
  <si>
    <t>Parede 1</t>
  </si>
  <si>
    <t>Parede 2</t>
  </si>
  <si>
    <t>Parede 3</t>
  </si>
  <si>
    <t>Parede 4</t>
  </si>
  <si>
    <t>Parede 5</t>
  </si>
  <si>
    <t>Parede 6</t>
  </si>
  <si>
    <t>Abrigo de veículos</t>
  </si>
  <si>
    <t>Área de serviço</t>
  </si>
  <si>
    <t>Muro externo</t>
  </si>
  <si>
    <t>Parede entre banheiros masculino e feminino</t>
  </si>
  <si>
    <t>Fechamento WC Feminino / PNE</t>
  </si>
  <si>
    <t>Fechamento de vão Recepção / Guarda Municipal</t>
  </si>
  <si>
    <t>Trecho de parede na Recepção</t>
  </si>
  <si>
    <t>Fechamento de vão Cozinha / Sala Multiuso</t>
  </si>
  <si>
    <t>Fechamento de vão WC Funcionários / Sala Multiuso</t>
  </si>
  <si>
    <t>Parede entre Sala de Esterilização e Sala Odontológica</t>
  </si>
  <si>
    <t>Fechamento de vão Sala de Atendimento Médico / Abrigo de ambulância</t>
  </si>
  <si>
    <t>Parede externa da Sala de Curativos</t>
  </si>
  <si>
    <t>Mureta da fachada</t>
  </si>
  <si>
    <t>Recepção / Sala de Espera / Área de Circulação</t>
  </si>
  <si>
    <t>Copa / Cozinha</t>
  </si>
  <si>
    <t>WC Funcionários</t>
  </si>
  <si>
    <t>Sala de Esterilização</t>
  </si>
  <si>
    <t>Sala de Atendimento Médico</t>
  </si>
  <si>
    <t>Paredes externas</t>
  </si>
  <si>
    <t>Muro de divisa</t>
  </si>
  <si>
    <t>Mureta</t>
  </si>
  <si>
    <t>Massa corrida PVA</t>
  </si>
  <si>
    <t>Massa acrílica</t>
  </si>
  <si>
    <t>Comprimentos dos perfis metálicos (m)</t>
  </si>
  <si>
    <t>Tramos</t>
  </si>
  <si>
    <t>Simples 1</t>
  </si>
  <si>
    <t>T-39</t>
  </si>
  <si>
    <t>T-40</t>
  </si>
  <si>
    <t>T-41</t>
  </si>
  <si>
    <t>T-42</t>
  </si>
  <si>
    <t>T-43</t>
  </si>
  <si>
    <t>T-44</t>
  </si>
  <si>
    <t>T-45</t>
  </si>
  <si>
    <t>T-46</t>
  </si>
  <si>
    <t>T-47</t>
  </si>
  <si>
    <t>T-48</t>
  </si>
  <si>
    <t>T-49</t>
  </si>
  <si>
    <t>T-50</t>
  </si>
  <si>
    <t>T-51</t>
  </si>
  <si>
    <t>T-52</t>
  </si>
  <si>
    <t>T-53</t>
  </si>
  <si>
    <t>T-54</t>
  </si>
  <si>
    <t>T-55</t>
  </si>
  <si>
    <t>T-56</t>
  </si>
  <si>
    <t>T-57</t>
  </si>
  <si>
    <t>T-58</t>
  </si>
  <si>
    <t>T-59</t>
  </si>
  <si>
    <t>T-60</t>
  </si>
  <si>
    <t>T-61</t>
  </si>
  <si>
    <t>T-62</t>
  </si>
  <si>
    <t>T-63</t>
  </si>
  <si>
    <t>T-64</t>
  </si>
  <si>
    <t>T-65</t>
  </si>
  <si>
    <t>T-66</t>
  </si>
  <si>
    <t>T-67</t>
  </si>
  <si>
    <t>Alvenaria de embasamento (m³)</t>
  </si>
  <si>
    <t>Trecho de fechamento da porta de acesso principal</t>
  </si>
  <si>
    <t>Portão de ferro perfilado, tipo parque</t>
  </si>
  <si>
    <t>1.1</t>
  </si>
  <si>
    <t>2.1</t>
  </si>
  <si>
    <t>3.2</t>
  </si>
  <si>
    <t>4.1</t>
  </si>
  <si>
    <t>30 dias</t>
  </si>
  <si>
    <t>Avenida Benedito Rodrigues de Barros, 99, Vila Canaã, Itatinga/SP</t>
  </si>
  <si>
    <t>Parcela de maior relevância ou de valor significativo:</t>
  </si>
  <si>
    <t>4.2</t>
  </si>
  <si>
    <t>BOLETIM CDHU 189 - ENCARGOS SOCIAIS DESONERADOS (LS = 97,78%) - DATA/BASE: FEVEREIRO/2023.</t>
  </si>
  <si>
    <t>BOLETIM CDHU 189 (DESONERADO - 02/2023)</t>
  </si>
  <si>
    <t>Preço unitário (com BDI)</t>
  </si>
  <si>
    <t>PREÇO TOTAL</t>
  </si>
  <si>
    <t>CDHU 33.02.080</t>
  </si>
  <si>
    <t>CDHU 33.10.030</t>
  </si>
  <si>
    <t>COMPOSIÇÃO ANALÍTICA DO BDI CONFORME ACÓRDÃO 2622/2013 - TCU PLENÁRIO</t>
  </si>
  <si>
    <t>LOCAL</t>
  </si>
  <si>
    <t>DESCRIÇÃO</t>
  </si>
  <si>
    <t>ÍNDICE ADOTADO (%)</t>
  </si>
  <si>
    <t>Administração Central (AC)</t>
  </si>
  <si>
    <t>Lucro (L)</t>
  </si>
  <si>
    <t>Despesas Financeiras (DF)</t>
  </si>
  <si>
    <t>Seguros e Garantias (S + G)</t>
  </si>
  <si>
    <t xml:space="preserve">Riscos (R) </t>
  </si>
  <si>
    <t>IMPOSTOS</t>
  </si>
  <si>
    <t>6.1</t>
  </si>
  <si>
    <t>ISS</t>
  </si>
  <si>
    <t>6.2</t>
  </si>
  <si>
    <t>INSS</t>
  </si>
  <si>
    <t>BDI (COM DESONERAÇÃO)</t>
  </si>
  <si>
    <t>O BDI acima foi calculado por meio da fórmula prevista no Acórdão 2622/2013 - TCU - Plenário:</t>
  </si>
  <si>
    <t>MURETA EM ALVENARIA</t>
  </si>
  <si>
    <t>2.5</t>
  </si>
  <si>
    <t>2.4</t>
  </si>
  <si>
    <t>2.3</t>
  </si>
  <si>
    <t>2.2</t>
  </si>
  <si>
    <t>12.01.021</t>
  </si>
  <si>
    <t>Broca em concreto armado diâmetro de 20 cm ‐ completa</t>
  </si>
  <si>
    <t>14.10.111</t>
  </si>
  <si>
    <t>Alvenaria de bloco de concreto de vedação de 14 x 19 x 39 cm ‐ classe C</t>
  </si>
  <si>
    <t>Chapisco</t>
  </si>
  <si>
    <t>Emboço comum</t>
  </si>
  <si>
    <t>Reboco</t>
  </si>
  <si>
    <t>17.02.020</t>
  </si>
  <si>
    <t>17.02.120</t>
  </si>
  <si>
    <t>17.02.220</t>
  </si>
  <si>
    <t>3.1</t>
  </si>
  <si>
    <t>Código CDHU</t>
  </si>
  <si>
    <t>34.05.320</t>
  </si>
  <si>
    <t>34.05.310</t>
  </si>
  <si>
    <t>Gradil de ferro perfilado, tipo parque</t>
  </si>
  <si>
    <t>02.08.050</t>
  </si>
  <si>
    <t>SERVIÇOS PRELIMINARES</t>
  </si>
  <si>
    <t>06.02.020</t>
  </si>
  <si>
    <t>Escavação manual em solo de 1ª e 2ª categoria em vala ou cava até 1,5 m</t>
  </si>
  <si>
    <t>06.11.040</t>
  </si>
  <si>
    <t>Reaterro manual apiloado sem controle de compactação</t>
  </si>
  <si>
    <t>1.2</t>
  </si>
  <si>
    <t>1.3</t>
  </si>
  <si>
    <t>2.6</t>
  </si>
  <si>
    <t>32.16.010</t>
  </si>
  <si>
    <t>Impermeabilização em pintura de asfalto oxidado com solventes orgânicos, sobre massa</t>
  </si>
  <si>
    <t>GRADIL E PORTÕES</t>
  </si>
  <si>
    <t>Instalação de gradil e portões no Centro de Referência de Assistência Social (CRAS) de Itatinga</t>
  </si>
  <si>
    <r>
      <t xml:space="preserve">Item </t>
    </r>
    <r>
      <rPr>
        <b/>
        <sz val="10"/>
        <rFont val="Arial"/>
        <family val="2"/>
      </rPr>
      <t>3.1</t>
    </r>
    <r>
      <rPr>
        <sz val="10"/>
        <rFont val="Arial"/>
        <family val="2"/>
      </rPr>
      <t xml:space="preserve"> (</t>
    </r>
    <r>
      <rPr>
        <b/>
        <sz val="10"/>
        <rFont val="Arial"/>
        <family val="2"/>
      </rPr>
      <t>Gradil de ferro perfilado, tipo parque</t>
    </r>
    <r>
      <rPr>
        <sz val="10"/>
        <rFont val="Arial"/>
        <family val="2"/>
      </rPr>
      <t xml:space="preserve">) ou similar (valor percentual significativo - </t>
    </r>
    <r>
      <rPr>
        <b/>
        <sz val="10"/>
        <rFont val="Arial"/>
        <family val="2"/>
      </rPr>
      <t>76,20%</t>
    </r>
    <r>
      <rPr>
        <sz val="10"/>
        <rFont val="Arial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</si>
</sst>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R$&quot;\ #,##0.00;[Red]\-&quot;R$&quot;\ #,##0.00"/>
    <numFmt numFmtId="43" formatCode="_-* #,##0.00_-;\-* #,##0.00_-;_-* &quot;-&quot;??_-;_-@_-"/>
    <numFmt numFmtId="164" formatCode="&quot;R$ &quot;\ \ #,##0.00"/>
    <numFmt numFmtId="165" formatCode="_(* #,##0.00_);_(* \(#,##0.00\);_(* &quot;-&quot;??_);_(@_)"/>
    <numFmt numFmtId="166" formatCode="0.00000000%"/>
    <numFmt numFmtId="167" formatCode="0.000000%"/>
    <numFmt numFmtId="168" formatCode="0.000"/>
    <numFmt numFmtId="169" formatCode="&quot;R$&quot;\ #,##0.00000;[Red]\-&quot;R$&quot;\ #,##0.00000"/>
    <numFmt numFmtId="170" formatCode="0.0000000%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7"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Border="0" applyProtection="0"/>
    <xf numFmtId="0" fontId="16" fillId="0" borderId="0"/>
    <xf numFmtId="0" fontId="4" fillId="0" borderId="0"/>
    <xf numFmtId="9" fontId="17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7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8" fontId="7" fillId="4" borderId="1" xfId="0" applyNumberFormat="1" applyFont="1" applyFill="1" applyBorder="1" applyAlignment="1">
      <alignment horizontal="center" vertical="center"/>
    </xf>
    <xf numFmtId="8" fontId="8" fillId="2" borderId="1" xfId="0" applyNumberFormat="1" applyFont="1" applyFill="1" applyBorder="1" applyAlignment="1">
      <alignment horizontal="center" vertical="center"/>
    </xf>
    <xf numFmtId="8" fontId="7" fillId="0" borderId="0" xfId="0" applyNumberFormat="1" applyFont="1"/>
    <xf numFmtId="0" fontId="13" fillId="0" borderId="0" xfId="0" applyFont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2" fontId="13" fillId="0" borderId="0" xfId="0" applyNumberFormat="1" applyFont="1"/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6" fillId="0" borderId="1" xfId="5" applyNumberFormat="1" applyBorder="1" applyAlignment="1">
      <alignment horizontal="center"/>
    </xf>
    <xf numFmtId="2" fontId="11" fillId="0" borderId="1" xfId="5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0" fontId="18" fillId="0" borderId="0" xfId="7" applyNumberFormat="1" applyFont="1"/>
    <xf numFmtId="0" fontId="5" fillId="0" borderId="0" xfId="3" applyFont="1" applyAlignment="1">
      <alignment horizontal="left" vertical="center" wrapText="1" readingOrder="2"/>
    </xf>
    <xf numFmtId="0" fontId="8" fillId="0" borderId="1" xfId="0" applyFont="1" applyBorder="1" applyAlignment="1">
      <alignment horizontal="center"/>
    </xf>
    <xf numFmtId="10" fontId="8" fillId="2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0" fontId="20" fillId="2" borderId="1" xfId="0" applyFont="1" applyFill="1" applyBorder="1" applyAlignment="1">
      <alignment vertical="center"/>
    </xf>
    <xf numFmtId="0" fontId="23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6" fontId="7" fillId="0" borderId="0" xfId="7" applyNumberFormat="1" applyFont="1"/>
    <xf numFmtId="14" fontId="11" fillId="0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" fontId="13" fillId="0" borderId="0" xfId="0" applyNumberFormat="1" applyFont="1"/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167" fontId="7" fillId="0" borderId="1" xfId="7" applyNumberFormat="1" applyFont="1" applyBorder="1" applyAlignment="1">
      <alignment horizontal="center"/>
    </xf>
    <xf numFmtId="0" fontId="5" fillId="0" borderId="0" xfId="3" applyFont="1" applyAlignment="1">
      <alignment horizontal="center" vertical="center" readingOrder="2"/>
    </xf>
    <xf numFmtId="0" fontId="7" fillId="0" borderId="1" xfId="0" applyFont="1" applyBorder="1" applyAlignment="1">
      <alignment horizontal="center"/>
    </xf>
    <xf numFmtId="8" fontId="8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/>
    </xf>
    <xf numFmtId="0" fontId="10" fillId="3" borderId="1" xfId="3" applyFont="1" applyFill="1" applyBorder="1" applyAlignment="1" applyProtection="1">
      <alignment horizontal="center" vertical="center"/>
      <protection locked="0"/>
    </xf>
    <xf numFmtId="10" fontId="11" fillId="0" borderId="1" xfId="3" applyNumberFormat="1" applyFont="1" applyFill="1" applyBorder="1" applyAlignment="1" applyProtection="1">
      <alignment horizontal="center" vertical="center"/>
      <protection locked="0"/>
    </xf>
    <xf numFmtId="164" fontId="10" fillId="3" borderId="8" xfId="3" applyNumberFormat="1" applyFont="1" applyFill="1" applyBorder="1" applyAlignment="1" applyProtection="1">
      <alignment vertical="center"/>
      <protection locked="0"/>
    </xf>
    <xf numFmtId="164" fontId="10" fillId="3" borderId="7" xfId="3" applyNumberFormat="1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>
      <alignment vertical="center"/>
    </xf>
    <xf numFmtId="169" fontId="7" fillId="0" borderId="0" xfId="0" applyNumberFormat="1" applyFont="1"/>
    <xf numFmtId="170" fontId="7" fillId="0" borderId="0" xfId="7" applyNumberFormat="1" applyFont="1"/>
    <xf numFmtId="0" fontId="5" fillId="0" borderId="0" xfId="3" applyFont="1" applyAlignment="1">
      <alignment horizontal="center" vertical="center" readingOrder="2"/>
    </xf>
    <xf numFmtId="0" fontId="6" fillId="0" borderId="0" xfId="3" applyFont="1" applyAlignment="1">
      <alignment vertical="center" readingOrder="2"/>
    </xf>
    <xf numFmtId="0" fontId="25" fillId="0" borderId="0" xfId="15" applyFont="1"/>
    <xf numFmtId="0" fontId="5" fillId="0" borderId="0" xfId="3" applyFont="1" applyAlignment="1">
      <alignment vertical="center" readingOrder="2"/>
    </xf>
    <xf numFmtId="0" fontId="26" fillId="7" borderId="1" xfId="15" applyFont="1" applyFill="1" applyBorder="1" applyAlignment="1">
      <alignment horizontal="center" vertical="center"/>
    </xf>
    <xf numFmtId="0" fontId="26" fillId="7" borderId="1" xfId="15" applyFont="1" applyFill="1" applyBorder="1" applyAlignment="1">
      <alignment horizontal="center"/>
    </xf>
    <xf numFmtId="0" fontId="25" fillId="0" borderId="1" xfId="15" applyFont="1" applyBorder="1"/>
    <xf numFmtId="0" fontId="27" fillId="0" borderId="1" xfId="15" applyFont="1" applyBorder="1" applyAlignment="1">
      <alignment horizontal="center" vertical="center"/>
    </xf>
    <xf numFmtId="10" fontId="27" fillId="0" borderId="1" xfId="16" applyNumberFormat="1" applyFont="1" applyBorder="1" applyAlignment="1">
      <alignment horizontal="center" vertical="center"/>
    </xf>
    <xf numFmtId="0" fontId="26" fillId="0" borderId="1" xfId="15" applyFont="1" applyBorder="1" applyAlignment="1">
      <alignment horizontal="center" vertical="center"/>
    </xf>
    <xf numFmtId="10" fontId="26" fillId="0" borderId="1" xfId="16" applyNumberFormat="1" applyFon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 readingOrder="2"/>
    </xf>
    <xf numFmtId="0" fontId="15" fillId="0" borderId="0" xfId="3" applyFont="1" applyAlignment="1">
      <alignment horizontal="center" vertical="center" readingOrder="2"/>
    </xf>
    <xf numFmtId="0" fontId="5" fillId="0" borderId="0" xfId="3" applyFont="1" applyAlignment="1">
      <alignment horizontal="center" vertical="center" readingOrder="2"/>
    </xf>
    <xf numFmtId="164" fontId="12" fillId="0" borderId="0" xfId="3" applyNumberFormat="1" applyFont="1" applyFill="1" applyBorder="1" applyAlignment="1" applyProtection="1">
      <alignment horizontal="center" vertical="center" wrapText="1"/>
      <protection locked="0"/>
    </xf>
    <xf numFmtId="164" fontId="10" fillId="3" borderId="1" xfId="3" applyNumberFormat="1" applyFont="1" applyFill="1" applyBorder="1" applyAlignment="1" applyProtection="1">
      <alignment horizontal="center" vertical="center"/>
      <protection locked="0"/>
    </xf>
    <xf numFmtId="164" fontId="11" fillId="3" borderId="1" xfId="3" applyNumberFormat="1" applyFont="1" applyFill="1" applyBorder="1" applyAlignment="1" applyProtection="1">
      <alignment horizontal="center"/>
      <protection locked="0"/>
    </xf>
    <xf numFmtId="0" fontId="11" fillId="0" borderId="1" xfId="3" applyFont="1" applyFill="1" applyBorder="1" applyAlignment="1" applyProtection="1">
      <alignment horizontal="left" vertical="center" wrapText="1"/>
    </xf>
    <xf numFmtId="0" fontId="11" fillId="5" borderId="1" xfId="3" applyFont="1" applyFill="1" applyBorder="1" applyAlignment="1">
      <alignment horizontal="left" vertical="top" wrapText="1"/>
    </xf>
    <xf numFmtId="0" fontId="10" fillId="5" borderId="1" xfId="3" applyFont="1" applyFill="1" applyBorder="1" applyAlignment="1">
      <alignment horizontal="left" vertical="top" wrapText="1"/>
    </xf>
    <xf numFmtId="0" fontId="10" fillId="5" borderId="1" xfId="3" applyFont="1" applyFill="1" applyBorder="1" applyAlignment="1">
      <alignment horizontal="left" vertical="top"/>
    </xf>
    <xf numFmtId="0" fontId="11" fillId="5" borderId="1" xfId="3" applyFont="1" applyFill="1" applyBorder="1" applyAlignment="1">
      <alignment horizontal="left" vertical="top"/>
    </xf>
    <xf numFmtId="0" fontId="24" fillId="5" borderId="1" xfId="3" applyFont="1" applyFill="1" applyBorder="1" applyAlignment="1">
      <alignment horizontal="left" vertical="top"/>
    </xf>
    <xf numFmtId="0" fontId="11" fillId="0" borderId="1" xfId="3" applyFont="1" applyFill="1" applyBorder="1" applyAlignment="1" applyProtection="1">
      <alignment horizontal="left" wrapText="1"/>
      <protection locked="0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164" fontId="9" fillId="0" borderId="2" xfId="3" applyNumberFormat="1" applyFont="1" applyFill="1" applyBorder="1" applyAlignment="1" applyProtection="1">
      <alignment horizontal="center" vertical="center"/>
      <protection locked="0"/>
    </xf>
    <xf numFmtId="164" fontId="9" fillId="0" borderId="4" xfId="3" applyNumberFormat="1" applyFont="1" applyFill="1" applyBorder="1" applyAlignment="1" applyProtection="1">
      <alignment horizontal="center" vertical="center"/>
      <protection locked="0"/>
    </xf>
    <xf numFmtId="14" fontId="22" fillId="0" borderId="2" xfId="3" applyNumberFormat="1" applyFont="1" applyFill="1" applyBorder="1" applyAlignment="1" applyProtection="1">
      <alignment horizontal="center" vertical="center"/>
      <protection locked="0"/>
    </xf>
    <xf numFmtId="14" fontId="22" fillId="0" borderId="4" xfId="3" applyNumberFormat="1" applyFont="1" applyFill="1" applyBorder="1" applyAlignment="1" applyProtection="1">
      <alignment horizontal="center" vertical="center"/>
      <protection locked="0"/>
    </xf>
    <xf numFmtId="164" fontId="9" fillId="0" borderId="1" xfId="3" applyNumberFormat="1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8" fontId="7" fillId="0" borderId="5" xfId="0" applyNumberFormat="1" applyFont="1" applyBorder="1" applyAlignment="1">
      <alignment horizontal="center" vertical="center"/>
    </xf>
    <xf numFmtId="8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21" fillId="0" borderId="1" xfId="7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9" fillId="0" borderId="3" xfId="3" applyNumberFormat="1" applyFont="1" applyFill="1" applyBorder="1" applyAlignment="1" applyProtection="1">
      <alignment horizontal="center" vertical="center"/>
      <protection locked="0"/>
    </xf>
    <xf numFmtId="164" fontId="9" fillId="0" borderId="2" xfId="3" applyNumberFormat="1" applyFont="1" applyFill="1" applyBorder="1" applyAlignment="1" applyProtection="1">
      <alignment horizontal="left"/>
      <protection locked="0"/>
    </xf>
    <xf numFmtId="164" fontId="9" fillId="0" borderId="3" xfId="3" applyNumberFormat="1" applyFont="1" applyFill="1" applyBorder="1" applyAlignment="1" applyProtection="1">
      <alignment horizontal="left"/>
      <protection locked="0"/>
    </xf>
    <xf numFmtId="164" fontId="9" fillId="0" borderId="4" xfId="3" applyNumberFormat="1" applyFont="1" applyFill="1" applyBorder="1" applyAlignment="1" applyProtection="1">
      <alignment horizontal="left"/>
      <protection locked="0"/>
    </xf>
    <xf numFmtId="164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10" fillId="0" borderId="2" xfId="3" applyNumberFormat="1" applyFont="1" applyFill="1" applyBorder="1" applyAlignment="1" applyProtection="1">
      <alignment horizontal="center" vertical="center"/>
      <protection locked="0"/>
    </xf>
    <xf numFmtId="164" fontId="10" fillId="0" borderId="4" xfId="3" applyNumberFormat="1" applyFont="1" applyFill="1" applyBorder="1" applyAlignment="1" applyProtection="1">
      <alignment horizontal="center" vertical="center"/>
      <protection locked="0"/>
    </xf>
    <xf numFmtId="0" fontId="28" fillId="0" borderId="1" xfId="15" applyFont="1" applyBorder="1" applyAlignment="1">
      <alignment horizontal="center" vertical="center"/>
    </xf>
    <xf numFmtId="0" fontId="25" fillId="0" borderId="1" xfId="15" applyFont="1" applyBorder="1" applyAlignment="1">
      <alignment horizontal="center" vertical="center"/>
    </xf>
    <xf numFmtId="0" fontId="26" fillId="2" borderId="1" xfId="15" applyFont="1" applyFill="1" applyBorder="1" applyAlignment="1">
      <alignment horizontal="center"/>
    </xf>
    <xf numFmtId="0" fontId="27" fillId="0" borderId="1" xfId="15" applyFont="1" applyBorder="1" applyAlignment="1">
      <alignment horizontal="left" vertical="center" wrapText="1"/>
    </xf>
    <xf numFmtId="0" fontId="27" fillId="0" borderId="1" xfId="15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right" vertical="center"/>
    </xf>
    <xf numFmtId="2" fontId="14" fillId="0" borderId="3" xfId="0" applyNumberFormat="1" applyFont="1" applyBorder="1" applyAlignment="1">
      <alignment horizontal="right" vertical="center"/>
    </xf>
    <xf numFmtId="2" fontId="14" fillId="0" borderId="4" xfId="0" applyNumberFormat="1" applyFont="1" applyBorder="1" applyAlignment="1">
      <alignment horizontal="right" vertical="center"/>
    </xf>
  </cellXfs>
  <cellStyles count="17">
    <cellStyle name="Normal" xfId="0" builtinId="0"/>
    <cellStyle name="Normal 10" xfId="2"/>
    <cellStyle name="Normal 2" xfId="5"/>
    <cellStyle name="Normal 3" xfId="6"/>
    <cellStyle name="Normal 3 2" xfId="14"/>
    <cellStyle name="Normal 4" xfId="3"/>
    <cellStyle name="Normal 5" xfId="8"/>
    <cellStyle name="Normal 6" xfId="12"/>
    <cellStyle name="Normal 6 2" xfId="15"/>
    <cellStyle name="Porcentagem" xfId="7" builtinId="5"/>
    <cellStyle name="Porcentagem 2" xfId="10"/>
    <cellStyle name="Porcentagem 3" xfId="13"/>
    <cellStyle name="Porcentagem 3 2" xfId="16"/>
    <cellStyle name="Porcentagem 4" xfId="1"/>
    <cellStyle name="Porcentagem 7" xfId="4"/>
    <cellStyle name="Vírgula 2" xfId="9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1429261</xdr:colOff>
      <xdr:row>31</xdr:row>
      <xdr:rowOff>104768</xdr:rowOff>
    </xdr:from>
    <xdr:to>
      <xdr:col>5</xdr:col>
      <xdr:colOff>396236</xdr:colOff>
      <xdr:row>34</xdr:row>
      <xdr:rowOff>66675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86586" y="6677018"/>
          <a:ext cx="3472300" cy="419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ADRIANO DE OLIVEIRA E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Engenheiro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 - </a:t>
          </a:r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CREA/SP 5069635272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87905</xdr:colOff>
      <xdr:row>0</xdr:row>
      <xdr:rowOff>39759</xdr:rowOff>
    </xdr:from>
    <xdr:to>
      <xdr:col>1</xdr:col>
      <xdr:colOff>419100</xdr:colOff>
      <xdr:row>4</xdr:row>
      <xdr:rowOff>67822</xdr:rowOff>
    </xdr:to>
    <xdr:pic>
      <xdr:nvPicPr>
        <xdr:cNvPr id="3" name="Picture 1" descr="Brasã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05" y="39759"/>
          <a:ext cx="702670" cy="637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145054</xdr:colOff>
      <xdr:row>0</xdr:row>
      <xdr:rowOff>20709</xdr:rowOff>
    </xdr:from>
    <xdr:to>
      <xdr:col>2</xdr:col>
      <xdr:colOff>82047</xdr:colOff>
      <xdr:row>3</xdr:row>
      <xdr:rowOff>180975</xdr:rowOff>
    </xdr:to>
    <xdr:pic>
      <xdr:nvPicPr>
        <xdr:cNvPr id="3" name="Picture 1" descr="Brasã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654" y="20709"/>
          <a:ext cx="660893" cy="72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1171575</xdr:colOff>
      <xdr:row>25</xdr:row>
      <xdr:rowOff>47625</xdr:rowOff>
    </xdr:from>
    <xdr:to>
      <xdr:col>5</xdr:col>
      <xdr:colOff>52825</xdr:colOff>
      <xdr:row>29</xdr:row>
      <xdr:rowOff>38100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05075" y="3800475"/>
          <a:ext cx="2824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ADRIANO DE OLIVEIRA E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Engenheiro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</a:t>
          </a:r>
          <a:endParaRPr lang="pt-BR" sz="1000" u="non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ctr"/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CREA-SP 5069635272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22</xdr:row>
      <xdr:rowOff>57150</xdr:rowOff>
    </xdr:from>
    <xdr:to>
      <xdr:col>3</xdr:col>
      <xdr:colOff>953065</xdr:colOff>
      <xdr:row>26</xdr:row>
      <xdr:rowOff>57235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733800"/>
          <a:ext cx="4048690" cy="609685"/>
        </a:xfrm>
        <a:prstGeom prst="rect">
          <a:avLst/>
        </a:prstGeom>
      </xdr:spPr>
    </xdr:pic>
    <xdr:clientData/>
  </xdr:twoCellAnchor>
  <xdr:twoCellAnchor>
    <xdr:from>
      <xdr:col>1</xdr:col>
      <xdr:colOff>30755</xdr:colOff>
      <xdr:row>0</xdr:row>
      <xdr:rowOff>106434</xdr:rowOff>
    </xdr:from>
    <xdr:to>
      <xdr:col>2</xdr:col>
      <xdr:colOff>314326</xdr:colOff>
      <xdr:row>4</xdr:row>
      <xdr:rowOff>115595</xdr:rowOff>
    </xdr:to>
    <xdr:pic>
      <xdr:nvPicPr>
        <xdr:cNvPr id="3" name="Picture 1" descr="Brasã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355" y="106434"/>
          <a:ext cx="978896" cy="752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29</xdr:row>
      <xdr:rowOff>76200</xdr:rowOff>
    </xdr:from>
    <xdr:to>
      <xdr:col>3</xdr:col>
      <xdr:colOff>1157725</xdr:colOff>
      <xdr:row>33</xdr:row>
      <xdr:rowOff>104775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7250" y="4819650"/>
          <a:ext cx="44248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ADRIANO DE OLIVEIRA E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Engenheiro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</a:t>
          </a:r>
          <a:endParaRPr lang="pt-BR" sz="1000" u="non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ctr"/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CREA-SP 5069635272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sqref="A1:I1"/>
    </sheetView>
  </sheetViews>
  <sheetFormatPr defaultColWidth="9.140625" defaultRowHeight="12"/>
  <cols>
    <col min="1" max="1" width="4.28515625" style="1" customWidth="1"/>
    <col min="2" max="2" width="14.5703125" style="1" bestFit="1" customWidth="1"/>
    <col min="3" max="3" width="48.42578125" style="1" customWidth="1"/>
    <col min="4" max="4" width="9.7109375" style="1" customWidth="1"/>
    <col min="5" max="5" width="7.140625" style="1" customWidth="1"/>
    <col min="6" max="6" width="12.85546875" style="1" customWidth="1"/>
    <col min="7" max="7" width="13.5703125" style="1" customWidth="1"/>
    <col min="8" max="8" width="13.7109375" style="1" bestFit="1" customWidth="1"/>
    <col min="9" max="9" width="11" style="1" customWidth="1"/>
    <col min="10" max="10" width="15.5703125" style="1" bestFit="1" customWidth="1"/>
    <col min="11" max="11" width="16.85546875" style="1" bestFit="1" customWidth="1"/>
    <col min="12" max="12" width="14.140625" style="1" bestFit="1" customWidth="1"/>
    <col min="13" max="13" width="13.5703125" style="1" bestFit="1" customWidth="1"/>
    <col min="14" max="16384" width="9.140625" style="1"/>
  </cols>
  <sheetData>
    <row r="1" spans="1:12" ht="12" customHeight="1">
      <c r="A1" s="85" t="s">
        <v>16</v>
      </c>
      <c r="B1" s="85"/>
      <c r="C1" s="85"/>
      <c r="D1" s="85"/>
      <c r="E1" s="85"/>
      <c r="F1" s="85"/>
      <c r="G1" s="85"/>
      <c r="H1" s="85"/>
      <c r="I1" s="85"/>
    </row>
    <row r="2" spans="1:12" ht="12" customHeight="1">
      <c r="A2" s="86" t="s">
        <v>14</v>
      </c>
      <c r="B2" s="86"/>
      <c r="C2" s="86"/>
      <c r="D2" s="86"/>
      <c r="E2" s="86"/>
      <c r="F2" s="86"/>
      <c r="G2" s="86"/>
      <c r="H2" s="86"/>
      <c r="I2" s="86"/>
    </row>
    <row r="3" spans="1:12" ht="12" customHeight="1">
      <c r="A3" s="87" t="s">
        <v>15</v>
      </c>
      <c r="B3" s="87"/>
      <c r="C3" s="87"/>
      <c r="D3" s="87"/>
      <c r="E3" s="87"/>
      <c r="F3" s="87"/>
      <c r="G3" s="87"/>
      <c r="H3" s="87"/>
      <c r="I3" s="87"/>
    </row>
    <row r="4" spans="1:12" ht="12" customHeight="1">
      <c r="A4" s="62"/>
      <c r="B4" s="62"/>
      <c r="C4" s="34"/>
      <c r="D4" s="62"/>
      <c r="E4" s="62"/>
      <c r="F4" s="62"/>
      <c r="G4" s="62"/>
      <c r="H4" s="62"/>
      <c r="I4" s="62"/>
    </row>
    <row r="5" spans="1:12" ht="12" customHeight="1">
      <c r="A5" s="88" t="s">
        <v>8</v>
      </c>
      <c r="B5" s="88"/>
      <c r="C5" s="88"/>
      <c r="D5" s="88"/>
      <c r="E5" s="88"/>
      <c r="F5" s="88"/>
      <c r="G5" s="88"/>
      <c r="H5" s="88"/>
      <c r="I5" s="88"/>
    </row>
    <row r="6" spans="1:12" ht="33.75" customHeight="1">
      <c r="A6" s="89" t="s">
        <v>9</v>
      </c>
      <c r="B6" s="90"/>
      <c r="C6" s="91" t="s">
        <v>273</v>
      </c>
      <c r="D6" s="91"/>
      <c r="E6" s="91"/>
      <c r="F6" s="66" t="s">
        <v>10</v>
      </c>
      <c r="G6" s="67">
        <v>0.2</v>
      </c>
      <c r="H6" s="66" t="s">
        <v>11</v>
      </c>
      <c r="I6" s="50">
        <v>45078</v>
      </c>
    </row>
    <row r="7" spans="1:12" ht="12.75">
      <c r="A7" s="89" t="s">
        <v>12</v>
      </c>
      <c r="B7" s="90"/>
      <c r="C7" s="97" t="s">
        <v>216</v>
      </c>
      <c r="D7" s="97"/>
      <c r="E7" s="97"/>
      <c r="F7" s="97"/>
      <c r="G7" s="97"/>
      <c r="H7" s="97"/>
      <c r="I7" s="97"/>
    </row>
    <row r="8" spans="1:12" ht="9" customHeight="1">
      <c r="H8" s="33">
        <f>G6</f>
        <v>0.2</v>
      </c>
      <c r="I8" s="33"/>
    </row>
    <row r="9" spans="1:12" ht="24">
      <c r="A9" s="2" t="s">
        <v>0</v>
      </c>
      <c r="B9" s="3" t="s">
        <v>257</v>
      </c>
      <c r="C9" s="2" t="s">
        <v>1</v>
      </c>
      <c r="D9" s="2" t="s">
        <v>2</v>
      </c>
      <c r="E9" s="2" t="s">
        <v>3</v>
      </c>
      <c r="F9" s="3" t="s">
        <v>4</v>
      </c>
      <c r="G9" s="3" t="s">
        <v>221</v>
      </c>
      <c r="H9" s="3" t="s">
        <v>47</v>
      </c>
      <c r="I9" s="3" t="s">
        <v>40</v>
      </c>
    </row>
    <row r="10" spans="1:12">
      <c r="A10" s="4">
        <v>1</v>
      </c>
      <c r="B10" s="98" t="s">
        <v>262</v>
      </c>
      <c r="C10" s="99"/>
      <c r="D10" s="99"/>
      <c r="E10" s="99"/>
      <c r="F10" s="99"/>
      <c r="G10" s="100"/>
      <c r="H10" s="9">
        <f>SUM(H11:H13)</f>
        <v>1232.1999999999998</v>
      </c>
      <c r="I10" s="36">
        <f>ROUNDUP(H10/$H$27,4)</f>
        <v>7.3000000000000001E-3</v>
      </c>
      <c r="L10" s="72"/>
    </row>
    <row r="11" spans="1:12" ht="24">
      <c r="A11" s="5" t="s">
        <v>211</v>
      </c>
      <c r="B11" s="5" t="s">
        <v>261</v>
      </c>
      <c r="C11" s="6" t="s">
        <v>22</v>
      </c>
      <c r="D11" s="7">
        <f>2*1.5</f>
        <v>3</v>
      </c>
      <c r="E11" s="5" t="s">
        <v>6</v>
      </c>
      <c r="F11" s="8">
        <v>171.96</v>
      </c>
      <c r="G11" s="8">
        <f>F11*(1+$H$8)</f>
        <v>206.352</v>
      </c>
      <c r="H11" s="8">
        <f t="shared" ref="H11:H12" si="0">ROUNDUP(D11*F11*(1+$H$8),2)</f>
        <v>619.05999999999995</v>
      </c>
      <c r="I11" s="37">
        <f>ROUNDUP(H11/$H$27,4)</f>
        <v>3.6999999999999997E-3</v>
      </c>
      <c r="J11" s="49"/>
      <c r="K11" s="71"/>
      <c r="L11" s="72"/>
    </row>
    <row r="12" spans="1:12" ht="24">
      <c r="A12" s="5" t="s">
        <v>267</v>
      </c>
      <c r="B12" s="5" t="s">
        <v>263</v>
      </c>
      <c r="C12" s="6" t="s">
        <v>264</v>
      </c>
      <c r="D12" s="27">
        <f>(52.25+18.75+3.85)*(0.55)*(0.2)</f>
        <v>8.2334999999999994</v>
      </c>
      <c r="E12" s="5" t="s">
        <v>6</v>
      </c>
      <c r="F12" s="8">
        <v>50.61</v>
      </c>
      <c r="G12" s="8">
        <f t="shared" ref="G12:G13" si="1">F12*(1+$H$8)</f>
        <v>60.731999999999999</v>
      </c>
      <c r="H12" s="8">
        <f t="shared" si="0"/>
        <v>500.03999999999996</v>
      </c>
      <c r="I12" s="37">
        <f>ROUNDDOWN(H12/$H$27,4)</f>
        <v>2.8999999999999998E-3</v>
      </c>
      <c r="J12" s="49"/>
      <c r="K12" s="71"/>
      <c r="L12" s="72"/>
    </row>
    <row r="13" spans="1:12">
      <c r="A13" s="5" t="s">
        <v>268</v>
      </c>
      <c r="B13" s="84" t="s">
        <v>265</v>
      </c>
      <c r="C13" s="6" t="s">
        <v>266</v>
      </c>
      <c r="D13" s="27">
        <f>(52.25+18.75+3.85)*(0.4)*(0.2)</f>
        <v>5.9879999999999995</v>
      </c>
      <c r="E13" s="5" t="s">
        <v>6</v>
      </c>
      <c r="F13" s="8">
        <v>15.74</v>
      </c>
      <c r="G13" s="8">
        <f t="shared" si="1"/>
        <v>18.887999999999998</v>
      </c>
      <c r="H13" s="8">
        <f>ROUNDDOWN(D13*F13*(1+$H$8),2)</f>
        <v>113.1</v>
      </c>
      <c r="I13" s="37">
        <f t="shared" ref="I13" si="2">ROUNDUP(H13/$H$27,4)</f>
        <v>6.9999999999999999E-4</v>
      </c>
      <c r="J13" s="49"/>
      <c r="K13" s="71"/>
      <c r="L13" s="72"/>
    </row>
    <row r="14" spans="1:12" ht="12" customHeight="1">
      <c r="A14" s="4">
        <v>2</v>
      </c>
      <c r="B14" s="98" t="s">
        <v>241</v>
      </c>
      <c r="C14" s="99"/>
      <c r="D14" s="99"/>
      <c r="E14" s="99"/>
      <c r="F14" s="99"/>
      <c r="G14" s="100"/>
      <c r="H14" s="9">
        <f>SUM(H15:H20)</f>
        <v>14650.920000000002</v>
      </c>
      <c r="I14" s="36">
        <f>ROUNDDOWN(H14/$H$27,4)</f>
        <v>8.6699999999999999E-2</v>
      </c>
      <c r="J14" s="49"/>
      <c r="K14" s="71"/>
      <c r="L14" s="72"/>
    </row>
    <row r="15" spans="1:12" ht="12" customHeight="1">
      <c r="A15" s="26" t="s">
        <v>212</v>
      </c>
      <c r="B15" s="5" t="s">
        <v>246</v>
      </c>
      <c r="C15" s="6" t="s">
        <v>247</v>
      </c>
      <c r="D15" s="27">
        <f>(ROUNDUP((52.25+18.75)/2.5,0)+4)*3</f>
        <v>99</v>
      </c>
      <c r="E15" s="5" t="s">
        <v>7</v>
      </c>
      <c r="F15" s="8">
        <v>57.37</v>
      </c>
      <c r="G15" s="8">
        <f t="shared" ref="G15:G20" si="3">F15*(1+$H$8)</f>
        <v>68.843999999999994</v>
      </c>
      <c r="H15" s="8">
        <f>ROUNDDOWN(D15*F15*(1+$H$8),2)</f>
        <v>6815.55</v>
      </c>
      <c r="I15" s="37">
        <f>ROUNDDOWN(H15/$H$27,4)</f>
        <v>4.0300000000000002E-2</v>
      </c>
      <c r="J15" s="49"/>
      <c r="K15" s="71"/>
      <c r="L15" s="72"/>
    </row>
    <row r="16" spans="1:12" ht="24">
      <c r="A16" s="26" t="s">
        <v>245</v>
      </c>
      <c r="B16" s="5" t="s">
        <v>248</v>
      </c>
      <c r="C16" s="6" t="s">
        <v>249</v>
      </c>
      <c r="D16" s="27">
        <f>(52.25+18.75+0.8+1.6+3.85)*0.6</f>
        <v>46.349999999999987</v>
      </c>
      <c r="E16" s="5" t="s">
        <v>5</v>
      </c>
      <c r="F16" s="8">
        <v>78.14</v>
      </c>
      <c r="G16" s="8">
        <f t="shared" si="3"/>
        <v>93.768000000000001</v>
      </c>
      <c r="H16" s="8">
        <f t="shared" ref="H16:H20" si="4">ROUNDUP(D16*F16*(1+$H$8),2)</f>
        <v>4346.1500000000005</v>
      </c>
      <c r="I16" s="37">
        <f>ROUNDDOWN(H16/$H$27,4)</f>
        <v>2.5700000000000001E-2</v>
      </c>
      <c r="J16" s="49"/>
      <c r="K16" s="71"/>
      <c r="L16" s="72"/>
    </row>
    <row r="17" spans="1:12" ht="24">
      <c r="A17" s="26" t="s">
        <v>244</v>
      </c>
      <c r="B17" s="5" t="s">
        <v>270</v>
      </c>
      <c r="C17" s="6" t="s">
        <v>271</v>
      </c>
      <c r="D17" s="27">
        <f>D16*2/3</f>
        <v>30.899999999999991</v>
      </c>
      <c r="E17" s="5" t="s">
        <v>5</v>
      </c>
      <c r="F17" s="8">
        <v>18.18</v>
      </c>
      <c r="G17" s="8">
        <f t="shared" si="3"/>
        <v>21.815999999999999</v>
      </c>
      <c r="H17" s="8">
        <f>ROUNDDOWN(D17*F17*(1+$H$8),2)</f>
        <v>674.11</v>
      </c>
      <c r="I17" s="37">
        <f>ROUNDUP(H17/$H$27,4)</f>
        <v>4.0000000000000001E-3</v>
      </c>
      <c r="J17" s="49"/>
      <c r="K17" s="71"/>
      <c r="L17" s="72"/>
    </row>
    <row r="18" spans="1:12" ht="12" customHeight="1">
      <c r="A18" s="26" t="s">
        <v>243</v>
      </c>
      <c r="B18" s="5" t="s">
        <v>253</v>
      </c>
      <c r="C18" s="6" t="s">
        <v>250</v>
      </c>
      <c r="D18" s="27">
        <f>(D16*2)*(2/3)</f>
        <v>61.799999999999983</v>
      </c>
      <c r="E18" s="5" t="s">
        <v>5</v>
      </c>
      <c r="F18" s="8">
        <v>6.21</v>
      </c>
      <c r="G18" s="8">
        <f t="shared" si="3"/>
        <v>7.452</v>
      </c>
      <c r="H18" s="8">
        <f>ROUNDDOWN(D18*F18*(1+$H$8),2)</f>
        <v>460.53</v>
      </c>
      <c r="I18" s="37">
        <f>ROUNDDOWN(H18/$H$27,4)</f>
        <v>2.7000000000000001E-3</v>
      </c>
      <c r="J18" s="49"/>
      <c r="K18" s="71"/>
      <c r="L18" s="72"/>
    </row>
    <row r="19" spans="1:12" ht="12" customHeight="1">
      <c r="A19" s="26" t="s">
        <v>242</v>
      </c>
      <c r="B19" s="5" t="s">
        <v>254</v>
      </c>
      <c r="C19" s="6" t="s">
        <v>251</v>
      </c>
      <c r="D19" s="27">
        <f>D18</f>
        <v>61.799999999999983</v>
      </c>
      <c r="E19" s="5" t="s">
        <v>5</v>
      </c>
      <c r="F19" s="8">
        <v>20.34</v>
      </c>
      <c r="G19" s="8">
        <f t="shared" si="3"/>
        <v>24.407999999999998</v>
      </c>
      <c r="H19" s="8">
        <f>ROUNDDOWN(D19*F19*(1+$H$8),2)</f>
        <v>1508.41</v>
      </c>
      <c r="I19" s="37">
        <f>ROUNDUP(H19/$H$27,4)</f>
        <v>8.9999999999999993E-3</v>
      </c>
      <c r="J19" s="49"/>
      <c r="K19" s="71"/>
      <c r="L19" s="72"/>
    </row>
    <row r="20" spans="1:12" ht="12" customHeight="1">
      <c r="A20" s="26" t="s">
        <v>269</v>
      </c>
      <c r="B20" s="5" t="s">
        <v>255</v>
      </c>
      <c r="C20" s="6" t="s">
        <v>252</v>
      </c>
      <c r="D20" s="27">
        <f>D18</f>
        <v>61.799999999999983</v>
      </c>
      <c r="E20" s="5" t="s">
        <v>5</v>
      </c>
      <c r="F20" s="8">
        <v>11.41</v>
      </c>
      <c r="G20" s="8">
        <f t="shared" si="3"/>
        <v>13.692</v>
      </c>
      <c r="H20" s="8">
        <f t="shared" si="4"/>
        <v>846.17</v>
      </c>
      <c r="I20" s="37">
        <f>ROUNDDOWN(H20/$H$27,4)</f>
        <v>5.0000000000000001E-3</v>
      </c>
      <c r="J20" s="49"/>
      <c r="K20" s="71"/>
      <c r="L20" s="72"/>
    </row>
    <row r="21" spans="1:12">
      <c r="A21" s="4">
        <v>3</v>
      </c>
      <c r="B21" s="98" t="s">
        <v>272</v>
      </c>
      <c r="C21" s="101"/>
      <c r="D21" s="101"/>
      <c r="E21" s="101"/>
      <c r="F21" s="101"/>
      <c r="G21" s="102"/>
      <c r="H21" s="9">
        <f>SUM(H22:H23)</f>
        <v>149822.78</v>
      </c>
      <c r="I21" s="36">
        <f>ROUNDDOWN(H21/$H$27,4)</f>
        <v>0.88680000000000003</v>
      </c>
      <c r="J21" s="49"/>
      <c r="K21" s="71"/>
      <c r="L21" s="72"/>
    </row>
    <row r="22" spans="1:12">
      <c r="A22" s="5" t="s">
        <v>256</v>
      </c>
      <c r="B22" s="5" t="s">
        <v>259</v>
      </c>
      <c r="C22" s="6" t="s">
        <v>260</v>
      </c>
      <c r="D22" s="7">
        <f>ROUNDUP((52.25+18.75+0.8+3.6+3.85)*2.1,2)</f>
        <v>166.42999999999998</v>
      </c>
      <c r="E22" s="5" t="s">
        <v>5</v>
      </c>
      <c r="F22" s="8">
        <v>644.55999999999995</v>
      </c>
      <c r="G22" s="8">
        <f t="shared" ref="G22" si="5">F22*(1+$H$8)</f>
        <v>773.47199999999987</v>
      </c>
      <c r="H22" s="8">
        <f>ROUNDDOWN(D22*F22*(1+$H$8),2)</f>
        <v>128728.94</v>
      </c>
      <c r="I22" s="37">
        <f>ROUNDUP(H22/$H$27,4)</f>
        <v>0.76200000000000001</v>
      </c>
      <c r="J22" s="49"/>
      <c r="K22" s="71"/>
      <c r="L22" s="72"/>
    </row>
    <row r="23" spans="1:12">
      <c r="A23" s="5" t="s">
        <v>213</v>
      </c>
      <c r="B23" s="5" t="s">
        <v>258</v>
      </c>
      <c r="C23" s="6" t="s">
        <v>210</v>
      </c>
      <c r="D23" s="7">
        <f>7*2.5+1*2.5</f>
        <v>20</v>
      </c>
      <c r="E23" s="5" t="s">
        <v>5</v>
      </c>
      <c r="F23" s="8">
        <v>878.91</v>
      </c>
      <c r="G23" s="8">
        <f t="shared" ref="G23" si="6">F23*(1+$H$8)</f>
        <v>1054.692</v>
      </c>
      <c r="H23" s="8">
        <f>ROUNDDOWN(D23*F23*(1+$H$8),2)</f>
        <v>21093.84</v>
      </c>
      <c r="I23" s="37">
        <f>ROUNDDOWN(H23/$H$27,4)</f>
        <v>0.12479999999999999</v>
      </c>
      <c r="J23" s="49"/>
      <c r="K23" s="71"/>
      <c r="L23" s="72"/>
    </row>
    <row r="24" spans="1:12">
      <c r="A24" s="4">
        <v>4</v>
      </c>
      <c r="B24" s="103" t="s">
        <v>23</v>
      </c>
      <c r="C24" s="101"/>
      <c r="D24" s="101"/>
      <c r="E24" s="101"/>
      <c r="F24" s="101"/>
      <c r="G24" s="102"/>
      <c r="H24" s="9">
        <f>SUM(H25:H26)</f>
        <v>3235.6</v>
      </c>
      <c r="I24" s="36">
        <f>ROUNDUP(H24/$H$27,4)</f>
        <v>1.9199999999999998E-2</v>
      </c>
      <c r="J24" s="49"/>
      <c r="K24" s="71"/>
      <c r="L24" s="72"/>
    </row>
    <row r="25" spans="1:12" ht="12.75" customHeight="1">
      <c r="A25" s="5" t="s">
        <v>214</v>
      </c>
      <c r="B25" s="5" t="s">
        <v>223</v>
      </c>
      <c r="C25" s="12" t="s">
        <v>25</v>
      </c>
      <c r="D25" s="7">
        <f>D18</f>
        <v>61.799999999999983</v>
      </c>
      <c r="E25" s="13" t="s">
        <v>5</v>
      </c>
      <c r="F25" s="8">
        <v>15.23</v>
      </c>
      <c r="G25" s="8">
        <f t="shared" ref="G25:G26" si="7">F25*(1+$H$8)</f>
        <v>18.276</v>
      </c>
      <c r="H25" s="8">
        <f>ROUNDUP(D25*F25*(1+$H$8),2)</f>
        <v>1129.46</v>
      </c>
      <c r="I25" s="37">
        <f>ROUNDUP(H25/$H$27,4)</f>
        <v>6.7000000000000002E-3</v>
      </c>
      <c r="K25" s="71"/>
      <c r="L25" s="72"/>
    </row>
    <row r="26" spans="1:12">
      <c r="A26" s="5" t="s">
        <v>218</v>
      </c>
      <c r="B26" s="5" t="s">
        <v>224</v>
      </c>
      <c r="C26" s="12" t="s">
        <v>24</v>
      </c>
      <c r="D26" s="7">
        <f>D25</f>
        <v>61.799999999999983</v>
      </c>
      <c r="E26" s="13" t="s">
        <v>5</v>
      </c>
      <c r="F26" s="8">
        <v>28.4</v>
      </c>
      <c r="G26" s="8">
        <f t="shared" si="7"/>
        <v>34.08</v>
      </c>
      <c r="H26" s="8">
        <f>ROUNDDOWN(D26*F26*(1+$H$8),2)</f>
        <v>2106.14</v>
      </c>
      <c r="I26" s="37">
        <f>ROUNDUP(H26/$H$27,4)</f>
        <v>1.2499999999999999E-2</v>
      </c>
      <c r="K26" s="71"/>
      <c r="L26" s="72"/>
    </row>
    <row r="27" spans="1:12">
      <c r="A27" s="4"/>
      <c r="B27" s="98" t="s">
        <v>222</v>
      </c>
      <c r="C27" s="101"/>
      <c r="D27" s="101"/>
      <c r="E27" s="101"/>
      <c r="F27" s="101"/>
      <c r="G27" s="102"/>
      <c r="H27" s="9">
        <f>H10+H14+H21+H24</f>
        <v>168941.5</v>
      </c>
      <c r="I27" s="36">
        <f>I10+I14+I21+I24</f>
        <v>1</v>
      </c>
      <c r="K27" s="71"/>
      <c r="L27" s="72"/>
    </row>
    <row r="28" spans="1:12" ht="12.75">
      <c r="A28" s="94" t="s">
        <v>13</v>
      </c>
      <c r="B28" s="94"/>
      <c r="C28" s="94"/>
      <c r="D28" s="94"/>
      <c r="E28" s="94"/>
      <c r="F28" s="94"/>
      <c r="G28" s="94"/>
      <c r="H28" s="94"/>
      <c r="I28" s="94"/>
      <c r="K28" s="10"/>
      <c r="L28" s="72"/>
    </row>
    <row r="29" spans="1:12" ht="12.75">
      <c r="A29" s="95" t="s">
        <v>219</v>
      </c>
      <c r="B29" s="95"/>
      <c r="C29" s="95"/>
      <c r="D29" s="95"/>
      <c r="E29" s="95"/>
      <c r="F29" s="95"/>
      <c r="G29" s="95"/>
      <c r="H29" s="95"/>
      <c r="I29" s="95"/>
    </row>
    <row r="30" spans="1:12" ht="12.75" customHeight="1">
      <c r="A30" s="96" t="s">
        <v>217</v>
      </c>
      <c r="B30" s="96"/>
      <c r="C30" s="96"/>
      <c r="D30" s="96"/>
      <c r="E30" s="96"/>
      <c r="F30" s="96"/>
      <c r="G30" s="96"/>
      <c r="H30" s="96"/>
      <c r="I30" s="96"/>
    </row>
    <row r="31" spans="1:12" ht="12.75">
      <c r="A31" s="92" t="s">
        <v>274</v>
      </c>
      <c r="B31" s="93"/>
      <c r="C31" s="93"/>
      <c r="D31" s="93"/>
      <c r="E31" s="93"/>
      <c r="F31" s="93"/>
      <c r="G31" s="93"/>
      <c r="H31" s="93"/>
      <c r="I31" s="93"/>
    </row>
    <row r="32" spans="1:12">
      <c r="H32" s="10"/>
    </row>
    <row r="36" spans="3:3">
      <c r="C36" s="40"/>
    </row>
    <row r="43" spans="3:3" ht="16.5" customHeight="1"/>
  </sheetData>
  <mergeCells count="17">
    <mergeCell ref="A31:I31"/>
    <mergeCell ref="A28:I28"/>
    <mergeCell ref="A29:I29"/>
    <mergeCell ref="A30:I30"/>
    <mergeCell ref="A7:B7"/>
    <mergeCell ref="C7:I7"/>
    <mergeCell ref="B10:G10"/>
    <mergeCell ref="B14:G14"/>
    <mergeCell ref="B27:G27"/>
    <mergeCell ref="B21:G21"/>
    <mergeCell ref="B24:G24"/>
    <mergeCell ref="A1:I1"/>
    <mergeCell ref="A2:I2"/>
    <mergeCell ref="A3:I3"/>
    <mergeCell ref="A5:I5"/>
    <mergeCell ref="A6:B6"/>
    <mergeCell ref="C6:E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/>
  </sheetViews>
  <sheetFormatPr defaultRowHeight="12"/>
  <cols>
    <col min="1" max="1" width="9.140625" style="1"/>
    <col min="2" max="2" width="10.85546875" style="1" customWidth="1"/>
    <col min="3" max="3" width="36.42578125" style="1" customWidth="1"/>
    <col min="4" max="4" width="19.140625" style="1" customWidth="1"/>
    <col min="5" max="8" width="6.7109375" style="1" customWidth="1"/>
    <col min="9" max="9" width="3.7109375" style="1" customWidth="1"/>
    <col min="10" max="16384" width="9.140625" style="1"/>
  </cols>
  <sheetData>
    <row r="1" spans="2:9" ht="12.95" customHeight="1">
      <c r="B1" s="85" t="s">
        <v>16</v>
      </c>
      <c r="C1" s="85"/>
      <c r="D1" s="85"/>
      <c r="E1" s="85"/>
      <c r="F1" s="85"/>
      <c r="G1" s="85"/>
      <c r="H1" s="85"/>
    </row>
    <row r="2" spans="2:9" ht="12.95" customHeight="1">
      <c r="B2" s="86" t="s">
        <v>14</v>
      </c>
      <c r="C2" s="86"/>
      <c r="D2" s="86"/>
      <c r="E2" s="86"/>
      <c r="F2" s="86"/>
      <c r="G2" s="86"/>
      <c r="H2" s="86"/>
    </row>
    <row r="3" spans="2:9" ht="12.95" customHeight="1">
      <c r="B3" s="87" t="s">
        <v>15</v>
      </c>
      <c r="C3" s="87"/>
      <c r="D3" s="87"/>
      <c r="E3" s="87"/>
      <c r="F3" s="87"/>
      <c r="G3" s="87"/>
      <c r="H3" s="87"/>
    </row>
    <row r="4" spans="2:9" ht="12.95" customHeight="1">
      <c r="B4" s="129" t="s">
        <v>45</v>
      </c>
      <c r="C4" s="129"/>
      <c r="D4" s="129"/>
      <c r="E4" s="129"/>
      <c r="F4" s="129"/>
      <c r="G4" s="129"/>
      <c r="H4" s="129"/>
    </row>
    <row r="5" spans="2:9" ht="24" customHeight="1">
      <c r="B5" s="68" t="s">
        <v>9</v>
      </c>
      <c r="C5" s="108" t="s">
        <v>273</v>
      </c>
      <c r="D5" s="108"/>
      <c r="E5" s="104" t="s">
        <v>11</v>
      </c>
      <c r="F5" s="105"/>
      <c r="G5" s="106">
        <v>45078</v>
      </c>
      <c r="H5" s="107"/>
    </row>
    <row r="6" spans="2:9" ht="11.1" customHeight="1">
      <c r="B6" s="69" t="s">
        <v>12</v>
      </c>
      <c r="C6" s="126" t="s">
        <v>216</v>
      </c>
      <c r="D6" s="127"/>
      <c r="E6" s="127"/>
      <c r="F6" s="127"/>
      <c r="G6" s="127"/>
      <c r="H6" s="128"/>
    </row>
    <row r="7" spans="2:9" ht="11.1" customHeight="1">
      <c r="B7" s="104" t="s">
        <v>220</v>
      </c>
      <c r="C7" s="125"/>
      <c r="D7" s="105"/>
      <c r="E7" s="104" t="s">
        <v>46</v>
      </c>
      <c r="F7" s="105"/>
      <c r="G7" s="130" t="s">
        <v>215</v>
      </c>
      <c r="H7" s="131"/>
    </row>
    <row r="8" spans="2:9" ht="5.0999999999999996" customHeight="1"/>
    <row r="9" spans="2:9">
      <c r="B9" s="35" t="s">
        <v>36</v>
      </c>
      <c r="C9" s="35" t="s">
        <v>37</v>
      </c>
      <c r="D9" s="35" t="s">
        <v>38</v>
      </c>
      <c r="E9" s="111" t="s">
        <v>39</v>
      </c>
      <c r="F9" s="112"/>
      <c r="G9" s="112"/>
      <c r="H9" s="113"/>
      <c r="I9" s="29"/>
    </row>
    <row r="10" spans="2:9" ht="9" customHeight="1">
      <c r="B10" s="109">
        <v>1</v>
      </c>
      <c r="C10" s="109" t="s">
        <v>262</v>
      </c>
      <c r="D10" s="114">
        <f>'PLANILHA ORÇAMENTÁRIA'!H10</f>
        <v>1232.1999999999998</v>
      </c>
      <c r="E10" s="39"/>
      <c r="F10" s="70"/>
      <c r="G10" s="70"/>
      <c r="H10" s="70"/>
      <c r="I10" s="45"/>
    </row>
    <row r="11" spans="2:9" ht="9" customHeight="1">
      <c r="B11" s="110"/>
      <c r="C11" s="110"/>
      <c r="D11" s="115"/>
      <c r="E11" s="122">
        <v>1</v>
      </c>
      <c r="F11" s="122"/>
      <c r="G11" s="122"/>
      <c r="H11" s="122"/>
      <c r="I11" s="46"/>
    </row>
    <row r="12" spans="2:9" ht="12" customHeight="1">
      <c r="B12" s="109">
        <v>2</v>
      </c>
      <c r="C12" s="116" t="s">
        <v>241</v>
      </c>
      <c r="D12" s="114">
        <f>'PLANILHA ORÇAMENTÁRIA'!H14</f>
        <v>14650.920000000002</v>
      </c>
      <c r="E12" s="39"/>
      <c r="F12" s="39"/>
      <c r="G12" s="70"/>
      <c r="H12" s="70"/>
      <c r="I12" s="45"/>
    </row>
    <row r="13" spans="2:9" ht="12" customHeight="1">
      <c r="B13" s="110"/>
      <c r="C13" s="117"/>
      <c r="D13" s="115"/>
      <c r="E13" s="122">
        <v>1</v>
      </c>
      <c r="F13" s="122"/>
      <c r="G13" s="122"/>
      <c r="H13" s="122"/>
      <c r="I13" s="46"/>
    </row>
    <row r="14" spans="2:9" ht="9" customHeight="1">
      <c r="B14" s="109">
        <v>3</v>
      </c>
      <c r="C14" s="109" t="s">
        <v>272</v>
      </c>
      <c r="D14" s="114">
        <f>'PLANILHA ORÇAMENTÁRIA'!H21</f>
        <v>149822.78</v>
      </c>
      <c r="E14" s="70"/>
      <c r="F14" s="70"/>
      <c r="G14" s="39"/>
      <c r="H14" s="39"/>
      <c r="I14" s="45"/>
    </row>
    <row r="15" spans="2:9" ht="9" customHeight="1">
      <c r="B15" s="110"/>
      <c r="C15" s="110"/>
      <c r="D15" s="115"/>
      <c r="E15" s="122">
        <v>1</v>
      </c>
      <c r="F15" s="122"/>
      <c r="G15" s="122"/>
      <c r="H15" s="122"/>
      <c r="I15" s="46"/>
    </row>
    <row r="16" spans="2:9" ht="9" customHeight="1">
      <c r="B16" s="109">
        <v>4</v>
      </c>
      <c r="C16" s="109" t="s">
        <v>23</v>
      </c>
      <c r="D16" s="114">
        <f>'PLANILHA ORÇAMENTÁRIA'!H24</f>
        <v>3235.6</v>
      </c>
      <c r="E16" s="70"/>
      <c r="F16" s="70"/>
      <c r="G16" s="39"/>
      <c r="H16" s="39"/>
      <c r="I16" s="45"/>
    </row>
    <row r="17" spans="2:9" ht="9" customHeight="1">
      <c r="B17" s="110"/>
      <c r="C17" s="110"/>
      <c r="D17" s="115"/>
      <c r="E17" s="122">
        <v>1</v>
      </c>
      <c r="F17" s="122"/>
      <c r="G17" s="122"/>
      <c r="H17" s="122"/>
      <c r="I17" s="46"/>
    </row>
    <row r="18" spans="2:9" ht="9" customHeight="1">
      <c r="B18" s="121" t="s">
        <v>28</v>
      </c>
      <c r="C18" s="121"/>
      <c r="D18" s="64">
        <f>SUM(D10:D17)</f>
        <v>168941.5</v>
      </c>
      <c r="E18" s="123"/>
      <c r="F18" s="124"/>
      <c r="G18" s="124"/>
      <c r="H18" s="124"/>
    </row>
    <row r="19" spans="2:9">
      <c r="D19" s="22" t="s">
        <v>41</v>
      </c>
      <c r="E19" s="120">
        <f>E22/D18</f>
        <v>1</v>
      </c>
      <c r="F19" s="120"/>
      <c r="G19" s="120"/>
      <c r="H19" s="120"/>
      <c r="I19" s="47"/>
    </row>
    <row r="20" spans="2:9">
      <c r="D20" s="22" t="s">
        <v>42</v>
      </c>
      <c r="E20" s="120">
        <f>E19</f>
        <v>1</v>
      </c>
      <c r="F20" s="119"/>
      <c r="G20" s="119"/>
      <c r="H20" s="119"/>
      <c r="I20" s="29"/>
    </row>
    <row r="21" spans="2:9">
      <c r="D21" s="22" t="s">
        <v>43</v>
      </c>
      <c r="E21" s="118">
        <f>E11*$D$10+E13*$D$12+E15*$D$14+E17*$D$16</f>
        <v>168941.5</v>
      </c>
      <c r="F21" s="119"/>
      <c r="G21" s="119"/>
      <c r="H21" s="119"/>
      <c r="I21" s="29"/>
    </row>
    <row r="22" spans="2:9">
      <c r="D22" s="48" t="s">
        <v>44</v>
      </c>
      <c r="E22" s="118">
        <f>E21</f>
        <v>168941.5</v>
      </c>
      <c r="F22" s="119"/>
      <c r="G22" s="119"/>
      <c r="H22" s="119"/>
      <c r="I22" s="29"/>
    </row>
  </sheetData>
  <mergeCells count="34">
    <mergeCell ref="B1:H1"/>
    <mergeCell ref="E19:H19"/>
    <mergeCell ref="E18:H18"/>
    <mergeCell ref="B10:B11"/>
    <mergeCell ref="B12:B13"/>
    <mergeCell ref="B14:B15"/>
    <mergeCell ref="B16:B17"/>
    <mergeCell ref="D16:D17"/>
    <mergeCell ref="B7:D7"/>
    <mergeCell ref="C6:H6"/>
    <mergeCell ref="B2:H2"/>
    <mergeCell ref="B3:H3"/>
    <mergeCell ref="D10:D11"/>
    <mergeCell ref="D12:D13"/>
    <mergeCell ref="B4:H4"/>
    <mergeCell ref="G7:H7"/>
    <mergeCell ref="E22:H22"/>
    <mergeCell ref="E21:H21"/>
    <mergeCell ref="E20:H20"/>
    <mergeCell ref="B18:C18"/>
    <mergeCell ref="E11:H11"/>
    <mergeCell ref="E15:H15"/>
    <mergeCell ref="E17:H17"/>
    <mergeCell ref="E13:H13"/>
    <mergeCell ref="C16:C17"/>
    <mergeCell ref="E7:F7"/>
    <mergeCell ref="G5:H5"/>
    <mergeCell ref="E5:F5"/>
    <mergeCell ref="C5:D5"/>
    <mergeCell ref="C14:C15"/>
    <mergeCell ref="E9:H9"/>
    <mergeCell ref="C10:C11"/>
    <mergeCell ref="D14:D15"/>
    <mergeCell ref="C12:C1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workbookViewId="0"/>
  </sheetViews>
  <sheetFormatPr defaultRowHeight="12"/>
  <cols>
    <col min="1" max="1" width="9.140625" style="75"/>
    <col min="2" max="2" width="10.42578125" style="75" customWidth="1"/>
    <col min="3" max="3" width="42.28515625" style="75" customWidth="1"/>
    <col min="4" max="4" width="23.42578125" style="75" customWidth="1"/>
    <col min="5" max="16384" width="9.140625" style="75"/>
  </cols>
  <sheetData>
    <row r="1" spans="2:9" ht="15">
      <c r="B1" s="85" t="s">
        <v>16</v>
      </c>
      <c r="C1" s="85"/>
      <c r="D1" s="85"/>
      <c r="E1" s="74"/>
      <c r="F1" s="74"/>
      <c r="G1" s="74"/>
      <c r="H1" s="74"/>
      <c r="I1" s="74"/>
    </row>
    <row r="2" spans="2:9" ht="15">
      <c r="B2" s="85" t="s">
        <v>14</v>
      </c>
      <c r="C2" s="85"/>
      <c r="D2" s="85"/>
      <c r="E2" s="74"/>
      <c r="F2" s="74"/>
      <c r="G2" s="74"/>
      <c r="H2" s="74"/>
      <c r="I2" s="74"/>
    </row>
    <row r="3" spans="2:9" ht="14.25">
      <c r="B3" s="87" t="s">
        <v>15</v>
      </c>
      <c r="C3" s="87"/>
      <c r="D3" s="87"/>
      <c r="E3" s="76"/>
      <c r="F3" s="76"/>
      <c r="G3" s="76"/>
      <c r="H3" s="76"/>
      <c r="I3" s="76"/>
    </row>
    <row r="4" spans="2:9" ht="14.25">
      <c r="B4" s="73"/>
      <c r="C4" s="73"/>
      <c r="D4" s="34"/>
      <c r="E4" s="73"/>
      <c r="F4" s="73"/>
      <c r="G4" s="73"/>
      <c r="H4" s="73"/>
      <c r="I4" s="73"/>
    </row>
    <row r="5" spans="2:9" ht="14.25">
      <c r="B5" s="73"/>
      <c r="C5" s="73"/>
      <c r="D5" s="34"/>
      <c r="E5" s="73"/>
      <c r="F5" s="73"/>
      <c r="G5" s="73"/>
      <c r="H5" s="73"/>
      <c r="I5" s="73"/>
    </row>
    <row r="6" spans="2:9" ht="12.75">
      <c r="B6" s="134" t="s">
        <v>225</v>
      </c>
      <c r="C6" s="134"/>
      <c r="D6" s="134"/>
    </row>
    <row r="7" spans="2:9" ht="30.75" customHeight="1">
      <c r="B7" s="77" t="s">
        <v>9</v>
      </c>
      <c r="C7" s="135" t="s">
        <v>273</v>
      </c>
      <c r="D7" s="135"/>
    </row>
    <row r="8" spans="2:9" ht="12.75">
      <c r="B8" s="78" t="s">
        <v>226</v>
      </c>
      <c r="C8" s="136" t="s">
        <v>216</v>
      </c>
      <c r="D8" s="136"/>
    </row>
    <row r="9" spans="2:9" ht="5.0999999999999996" customHeight="1">
      <c r="B9" s="79"/>
      <c r="C9" s="79"/>
      <c r="D9" s="79"/>
    </row>
    <row r="10" spans="2:9" ht="12.75">
      <c r="B10" s="80" t="s">
        <v>36</v>
      </c>
      <c r="C10" s="80" t="s">
        <v>227</v>
      </c>
      <c r="D10" s="80" t="s">
        <v>228</v>
      </c>
    </row>
    <row r="11" spans="2:9" ht="12.75">
      <c r="B11" s="80">
        <v>1</v>
      </c>
      <c r="C11" s="80" t="s">
        <v>229</v>
      </c>
      <c r="D11" s="81">
        <v>0.03</v>
      </c>
    </row>
    <row r="12" spans="2:9" ht="12.75">
      <c r="B12" s="80">
        <v>2</v>
      </c>
      <c r="C12" s="80" t="s">
        <v>230</v>
      </c>
      <c r="D12" s="81">
        <v>0.06</v>
      </c>
    </row>
    <row r="13" spans="2:9" ht="12.75">
      <c r="B13" s="80">
        <v>3</v>
      </c>
      <c r="C13" s="80" t="s">
        <v>231</v>
      </c>
      <c r="D13" s="81">
        <v>5.0000000000000001E-3</v>
      </c>
    </row>
    <row r="14" spans="2:9" ht="12.75">
      <c r="B14" s="80">
        <v>4</v>
      </c>
      <c r="C14" s="80" t="s">
        <v>232</v>
      </c>
      <c r="D14" s="81">
        <v>8.0000000000000002E-3</v>
      </c>
    </row>
    <row r="15" spans="2:9" ht="12.75">
      <c r="B15" s="80">
        <v>5</v>
      </c>
      <c r="C15" s="80" t="s">
        <v>233</v>
      </c>
      <c r="D15" s="81">
        <v>9.5999999999999992E-3</v>
      </c>
    </row>
    <row r="16" spans="2:9" ht="12.75">
      <c r="B16" s="80">
        <v>6</v>
      </c>
      <c r="C16" s="80" t="s">
        <v>234</v>
      </c>
      <c r="D16" s="81">
        <f>D17+D18</f>
        <v>7.0000000000000007E-2</v>
      </c>
    </row>
    <row r="17" spans="2:4" ht="12.75">
      <c r="B17" s="80" t="s">
        <v>235</v>
      </c>
      <c r="C17" s="80" t="s">
        <v>236</v>
      </c>
      <c r="D17" s="81">
        <v>0.05</v>
      </c>
    </row>
    <row r="18" spans="2:4" ht="12.75">
      <c r="B18" s="80" t="s">
        <v>237</v>
      </c>
      <c r="C18" s="80" t="s">
        <v>238</v>
      </c>
      <c r="D18" s="81">
        <v>0.02</v>
      </c>
    </row>
    <row r="19" spans="2:4" ht="12.75">
      <c r="B19" s="80"/>
      <c r="C19" s="82" t="s">
        <v>239</v>
      </c>
      <c r="D19" s="83">
        <f>ROUNDDOWN((((1+D11+D14+D15)*(1+D12)*(1+D13))/(1-D16)-1),4)</f>
        <v>0.2</v>
      </c>
    </row>
    <row r="20" spans="2:4" ht="5.0999999999999996" customHeight="1"/>
    <row r="21" spans="2:4">
      <c r="B21" s="132" t="s">
        <v>240</v>
      </c>
      <c r="C21" s="132"/>
      <c r="D21" s="132"/>
    </row>
    <row r="22" spans="2:4">
      <c r="B22" s="132"/>
      <c r="C22" s="132"/>
      <c r="D22" s="132"/>
    </row>
    <row r="23" spans="2:4">
      <c r="B23" s="133"/>
      <c r="C23" s="133"/>
      <c r="D23" s="133"/>
    </row>
    <row r="24" spans="2:4">
      <c r="B24" s="133"/>
      <c r="C24" s="133"/>
      <c r="D24" s="133"/>
    </row>
    <row r="25" spans="2:4">
      <c r="B25" s="133"/>
      <c r="C25" s="133"/>
      <c r="D25" s="133"/>
    </row>
    <row r="26" spans="2:4">
      <c r="B26" s="133"/>
      <c r="C26" s="133"/>
      <c r="D26" s="133"/>
    </row>
    <row r="27" spans="2:4">
      <c r="B27" s="133"/>
      <c r="C27" s="133"/>
      <c r="D27" s="133"/>
    </row>
  </sheetData>
  <mergeCells count="8">
    <mergeCell ref="B21:D22"/>
    <mergeCell ref="B23:D27"/>
    <mergeCell ref="B1:D1"/>
    <mergeCell ref="B2:D2"/>
    <mergeCell ref="B3:D3"/>
    <mergeCell ref="B6:D6"/>
    <mergeCell ref="C7:D7"/>
    <mergeCell ref="C8:D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P150"/>
  <sheetViews>
    <sheetView topLeftCell="E100" workbookViewId="0">
      <selection activeCell="L127" sqref="L127"/>
    </sheetView>
  </sheetViews>
  <sheetFormatPr defaultRowHeight="12"/>
  <cols>
    <col min="1" max="6" width="9.140625" style="1"/>
    <col min="7" max="7" width="32.85546875" style="1" bestFit="1" customWidth="1"/>
    <col min="8" max="8" width="15.140625" style="1" bestFit="1" customWidth="1"/>
    <col min="9" max="9" width="24.5703125" style="1" bestFit="1" customWidth="1"/>
    <col min="10" max="10" width="21.140625" style="1" bestFit="1" customWidth="1"/>
    <col min="11" max="12" width="18.42578125" style="1" bestFit="1" customWidth="1"/>
    <col min="13" max="13" width="16.5703125" style="1" bestFit="1" customWidth="1"/>
    <col min="14" max="15" width="10" style="1" customWidth="1"/>
    <col min="16" max="16384" width="9.140625" style="1"/>
  </cols>
  <sheetData>
    <row r="2" spans="7:16">
      <c r="G2" s="109" t="s">
        <v>48</v>
      </c>
      <c r="H2" s="123" t="s">
        <v>49</v>
      </c>
      <c r="I2" s="124"/>
      <c r="J2" s="141"/>
      <c r="K2" s="139" t="s">
        <v>50</v>
      </c>
      <c r="L2" s="139"/>
      <c r="M2" s="137" t="s">
        <v>54</v>
      </c>
      <c r="N2" s="54"/>
      <c r="O2" s="137" t="s">
        <v>57</v>
      </c>
      <c r="P2" s="137"/>
    </row>
    <row r="3" spans="7:16">
      <c r="G3" s="110"/>
      <c r="H3" s="22" t="s">
        <v>51</v>
      </c>
      <c r="I3" s="22" t="s">
        <v>52</v>
      </c>
      <c r="J3" s="22" t="s">
        <v>53</v>
      </c>
      <c r="K3" s="22" t="s">
        <v>51</v>
      </c>
      <c r="L3" s="22" t="s">
        <v>52</v>
      </c>
      <c r="M3" s="137"/>
      <c r="N3" s="54" t="s">
        <v>178</v>
      </c>
      <c r="O3" s="42" t="s">
        <v>58</v>
      </c>
      <c r="P3" s="42" t="s">
        <v>59</v>
      </c>
    </row>
    <row r="4" spans="7:16">
      <c r="G4" s="61" t="s">
        <v>136</v>
      </c>
      <c r="H4" s="24">
        <v>7</v>
      </c>
      <c r="I4" s="24">
        <v>2</v>
      </c>
      <c r="J4" s="24">
        <v>1</v>
      </c>
      <c r="K4" s="24">
        <v>0</v>
      </c>
      <c r="L4" s="24">
        <v>0</v>
      </c>
      <c r="M4" s="24">
        <v>4</v>
      </c>
      <c r="N4" s="24">
        <v>0</v>
      </c>
      <c r="O4" s="23">
        <v>0</v>
      </c>
      <c r="P4" s="23">
        <v>1</v>
      </c>
    </row>
    <row r="5" spans="7:16">
      <c r="G5" s="61" t="s">
        <v>137</v>
      </c>
      <c r="H5" s="24">
        <v>8</v>
      </c>
      <c r="I5" s="24">
        <v>1</v>
      </c>
      <c r="J5" s="24">
        <v>1</v>
      </c>
      <c r="K5" s="24">
        <v>0</v>
      </c>
      <c r="L5" s="24">
        <v>0</v>
      </c>
      <c r="M5" s="24">
        <v>4</v>
      </c>
      <c r="N5" s="24">
        <v>0</v>
      </c>
      <c r="O5" s="23">
        <v>0</v>
      </c>
      <c r="P5" s="23">
        <v>1</v>
      </c>
    </row>
    <row r="6" spans="7:16">
      <c r="G6" s="61" t="s">
        <v>138</v>
      </c>
      <c r="H6" s="24">
        <v>10</v>
      </c>
      <c r="I6" s="24">
        <v>3</v>
      </c>
      <c r="J6" s="24">
        <v>1</v>
      </c>
      <c r="K6" s="24">
        <v>0</v>
      </c>
      <c r="L6" s="24">
        <v>0</v>
      </c>
      <c r="M6" s="24">
        <v>5</v>
      </c>
      <c r="N6" s="24">
        <v>0</v>
      </c>
      <c r="O6" s="23">
        <v>0</v>
      </c>
      <c r="P6" s="23">
        <v>4</v>
      </c>
    </row>
    <row r="7" spans="7:16">
      <c r="G7" s="61" t="s">
        <v>139</v>
      </c>
      <c r="H7" s="24">
        <v>8</v>
      </c>
      <c r="I7" s="24">
        <v>2</v>
      </c>
      <c r="J7" s="24">
        <v>1</v>
      </c>
      <c r="K7" s="24">
        <v>0</v>
      </c>
      <c r="L7" s="24">
        <v>0</v>
      </c>
      <c r="M7" s="24">
        <v>4</v>
      </c>
      <c r="N7" s="24">
        <v>0</v>
      </c>
      <c r="O7" s="23">
        <v>0</v>
      </c>
      <c r="P7" s="23">
        <v>1</v>
      </c>
    </row>
    <row r="8" spans="7:16">
      <c r="G8" s="61" t="s">
        <v>140</v>
      </c>
      <c r="H8" s="24">
        <v>1</v>
      </c>
      <c r="I8" s="24">
        <v>3</v>
      </c>
      <c r="J8" s="24">
        <v>0</v>
      </c>
      <c r="K8" s="24">
        <v>0</v>
      </c>
      <c r="L8" s="24">
        <v>0</v>
      </c>
      <c r="M8" s="24">
        <v>2</v>
      </c>
      <c r="N8" s="24">
        <v>0</v>
      </c>
      <c r="O8" s="23">
        <v>2</v>
      </c>
      <c r="P8" s="23">
        <v>0</v>
      </c>
    </row>
    <row r="9" spans="7:16">
      <c r="G9" s="61" t="s">
        <v>141</v>
      </c>
      <c r="H9" s="24">
        <v>0</v>
      </c>
      <c r="I9" s="24">
        <v>0</v>
      </c>
      <c r="J9" s="24">
        <v>0</v>
      </c>
      <c r="K9" s="24">
        <v>0</v>
      </c>
      <c r="L9" s="24">
        <v>1</v>
      </c>
      <c r="M9" s="24">
        <v>1</v>
      </c>
      <c r="N9" s="24">
        <v>1</v>
      </c>
      <c r="O9" s="23">
        <v>0</v>
      </c>
      <c r="P9" s="23">
        <v>0</v>
      </c>
    </row>
    <row r="10" spans="7:16">
      <c r="G10" s="61" t="s">
        <v>143</v>
      </c>
      <c r="H10" s="24">
        <v>1</v>
      </c>
      <c r="I10" s="24">
        <v>2</v>
      </c>
      <c r="J10" s="24">
        <v>1</v>
      </c>
      <c r="K10" s="24">
        <v>0</v>
      </c>
      <c r="L10" s="24">
        <v>2</v>
      </c>
      <c r="M10" s="24">
        <v>1</v>
      </c>
      <c r="N10" s="24">
        <v>0</v>
      </c>
      <c r="O10" s="23">
        <v>2</v>
      </c>
      <c r="P10" s="23">
        <v>0</v>
      </c>
    </row>
    <row r="11" spans="7:16">
      <c r="G11" s="61" t="s">
        <v>142</v>
      </c>
      <c r="H11" s="24">
        <v>2</v>
      </c>
      <c r="I11" s="24">
        <v>4</v>
      </c>
      <c r="J11" s="24">
        <v>1</v>
      </c>
      <c r="K11" s="24">
        <v>0</v>
      </c>
      <c r="L11" s="24">
        <v>2</v>
      </c>
      <c r="M11" s="24">
        <v>2</v>
      </c>
      <c r="N11" s="24">
        <v>0</v>
      </c>
      <c r="O11" s="23">
        <v>2</v>
      </c>
      <c r="P11" s="23">
        <v>0</v>
      </c>
    </row>
    <row r="12" spans="7:16">
      <c r="G12" s="61" t="s">
        <v>144</v>
      </c>
      <c r="H12" s="24">
        <v>6</v>
      </c>
      <c r="I12" s="24">
        <v>2</v>
      </c>
      <c r="J12" s="24">
        <v>1</v>
      </c>
      <c r="K12" s="24">
        <v>0</v>
      </c>
      <c r="L12" s="24">
        <v>0</v>
      </c>
      <c r="M12" s="24">
        <v>4</v>
      </c>
      <c r="N12" s="24">
        <v>0</v>
      </c>
      <c r="O12" s="23">
        <v>0</v>
      </c>
      <c r="P12" s="23">
        <v>3</v>
      </c>
    </row>
    <row r="13" spans="7:16">
      <c r="G13" s="61" t="s">
        <v>145</v>
      </c>
      <c r="H13" s="24">
        <v>4</v>
      </c>
      <c r="I13" s="24">
        <v>1</v>
      </c>
      <c r="J13" s="24">
        <v>1</v>
      </c>
      <c r="K13" s="24">
        <v>0</v>
      </c>
      <c r="L13" s="24">
        <v>0</v>
      </c>
      <c r="M13" s="24">
        <v>2</v>
      </c>
      <c r="N13" s="24">
        <v>2</v>
      </c>
      <c r="O13" s="23">
        <v>0</v>
      </c>
      <c r="P13" s="23">
        <v>0</v>
      </c>
    </row>
    <row r="14" spans="7:16">
      <c r="G14" s="61" t="s">
        <v>146</v>
      </c>
      <c r="H14" s="24">
        <v>0</v>
      </c>
      <c r="I14" s="24">
        <v>0</v>
      </c>
      <c r="J14" s="24">
        <v>0</v>
      </c>
      <c r="K14" s="24">
        <v>0</v>
      </c>
      <c r="L14" s="24">
        <v>1</v>
      </c>
      <c r="M14" s="24">
        <v>1</v>
      </c>
      <c r="N14" s="24">
        <v>1</v>
      </c>
      <c r="O14" s="23">
        <v>0</v>
      </c>
      <c r="P14" s="23">
        <v>0</v>
      </c>
    </row>
    <row r="15" spans="7:16">
      <c r="G15" s="61" t="s">
        <v>153</v>
      </c>
      <c r="H15" s="24">
        <v>0</v>
      </c>
      <c r="I15" s="24">
        <v>0</v>
      </c>
      <c r="J15" s="24">
        <v>0</v>
      </c>
      <c r="K15" s="24">
        <v>0</v>
      </c>
      <c r="L15" s="24">
        <v>1</v>
      </c>
      <c r="M15" s="24">
        <v>1</v>
      </c>
      <c r="N15" s="24">
        <v>2</v>
      </c>
      <c r="O15" s="23">
        <v>0</v>
      </c>
      <c r="P15" s="23">
        <v>0</v>
      </c>
    </row>
    <row r="16" spans="7:16">
      <c r="G16" s="61" t="s">
        <v>154</v>
      </c>
      <c r="H16" s="24">
        <v>0</v>
      </c>
      <c r="I16" s="24">
        <v>1</v>
      </c>
      <c r="J16" s="24">
        <v>0</v>
      </c>
      <c r="K16" s="24">
        <v>0</v>
      </c>
      <c r="L16" s="24">
        <v>1</v>
      </c>
      <c r="M16" s="24">
        <v>1</v>
      </c>
      <c r="N16" s="24">
        <v>1</v>
      </c>
      <c r="O16" s="23">
        <v>0</v>
      </c>
      <c r="P16" s="23">
        <v>0</v>
      </c>
    </row>
    <row r="17" spans="7:16">
      <c r="G17" s="61" t="s">
        <v>55</v>
      </c>
      <c r="H17" s="24">
        <v>0</v>
      </c>
      <c r="I17" s="24">
        <v>1</v>
      </c>
      <c r="J17" s="24">
        <v>0</v>
      </c>
      <c r="K17" s="24">
        <v>0</v>
      </c>
      <c r="L17" s="24">
        <v>0</v>
      </c>
      <c r="M17" s="24">
        <v>1</v>
      </c>
      <c r="N17" s="24">
        <v>1</v>
      </c>
      <c r="O17" s="23">
        <v>0</v>
      </c>
      <c r="P17" s="23">
        <v>0</v>
      </c>
    </row>
    <row r="18" spans="7:16">
      <c r="G18" s="61" t="s">
        <v>56</v>
      </c>
      <c r="H18" s="24">
        <v>0</v>
      </c>
      <c r="I18" s="24">
        <v>1</v>
      </c>
      <c r="J18" s="24">
        <v>0</v>
      </c>
      <c r="K18" s="24">
        <v>0</v>
      </c>
      <c r="L18" s="24">
        <v>0</v>
      </c>
      <c r="M18" s="24">
        <v>1</v>
      </c>
      <c r="N18" s="24">
        <v>1</v>
      </c>
      <c r="O18" s="23">
        <v>0</v>
      </c>
      <c r="P18" s="23">
        <v>0</v>
      </c>
    </row>
    <row r="19" spans="7:16">
      <c r="H19" s="142">
        <f>SUM(H4:J18)</f>
        <v>78</v>
      </c>
      <c r="I19" s="143"/>
      <c r="J19" s="144"/>
      <c r="K19" s="140">
        <f>SUM(K4:L18)</f>
        <v>8</v>
      </c>
      <c r="L19" s="140"/>
      <c r="M19" s="24">
        <f>SUM(M4:M18)</f>
        <v>34</v>
      </c>
      <c r="N19" s="24">
        <f>SUM(N4:N18)</f>
        <v>9</v>
      </c>
      <c r="O19" s="24">
        <f>SUM(O4:O18)</f>
        <v>6</v>
      </c>
      <c r="P19" s="24">
        <f>SUM(P4:P18)</f>
        <v>10</v>
      </c>
    </row>
    <row r="20" spans="7:16">
      <c r="H20" s="60"/>
      <c r="I20" s="60"/>
      <c r="J20" s="60"/>
      <c r="K20" s="60"/>
      <c r="L20" s="60"/>
      <c r="M20" s="60"/>
      <c r="N20" s="60"/>
      <c r="O20" s="60"/>
      <c r="P20" s="60"/>
    </row>
    <row r="21" spans="7:16">
      <c r="G21" s="145" t="s">
        <v>86</v>
      </c>
      <c r="H21" s="145"/>
      <c r="I21" s="145"/>
      <c r="J21" s="145"/>
      <c r="K21" s="145"/>
      <c r="L21" s="145"/>
      <c r="M21" s="145"/>
    </row>
    <row r="22" spans="7:16">
      <c r="G22" s="41" t="s">
        <v>60</v>
      </c>
      <c r="H22" s="41" t="s">
        <v>19</v>
      </c>
      <c r="I22" s="41" t="s">
        <v>83</v>
      </c>
      <c r="J22" s="55" t="s">
        <v>127</v>
      </c>
      <c r="K22" s="55" t="s">
        <v>126</v>
      </c>
      <c r="L22" s="41" t="s">
        <v>85</v>
      </c>
      <c r="M22" s="41" t="s">
        <v>84</v>
      </c>
    </row>
    <row r="23" spans="7:16">
      <c r="G23" s="41" t="s">
        <v>61</v>
      </c>
      <c r="H23" s="24">
        <v>0.3</v>
      </c>
      <c r="I23" s="24">
        <v>2</v>
      </c>
      <c r="J23" s="24">
        <f t="shared" ref="J23:J39" si="0">H23</f>
        <v>0.3</v>
      </c>
      <c r="K23" s="24">
        <v>0</v>
      </c>
      <c r="L23" s="24">
        <v>0</v>
      </c>
      <c r="M23" s="24">
        <f t="shared" ref="M23:M44" si="1">H23*I23</f>
        <v>0.6</v>
      </c>
    </row>
    <row r="24" spans="7:16">
      <c r="G24" s="41" t="s">
        <v>62</v>
      </c>
      <c r="H24" s="24">
        <v>3</v>
      </c>
      <c r="I24" s="24">
        <v>2</v>
      </c>
      <c r="J24" s="24">
        <f t="shared" si="0"/>
        <v>3</v>
      </c>
      <c r="K24" s="24">
        <v>0</v>
      </c>
      <c r="L24" s="24">
        <v>0</v>
      </c>
      <c r="M24" s="24">
        <f t="shared" si="1"/>
        <v>6</v>
      </c>
    </row>
    <row r="25" spans="7:16">
      <c r="G25" s="41" t="s">
        <v>63</v>
      </c>
      <c r="H25" s="24">
        <v>0.3</v>
      </c>
      <c r="I25" s="24">
        <v>2</v>
      </c>
      <c r="J25" s="24">
        <f t="shared" si="0"/>
        <v>0.3</v>
      </c>
      <c r="K25" s="24">
        <v>0</v>
      </c>
      <c r="L25" s="24">
        <v>0</v>
      </c>
      <c r="M25" s="24">
        <f t="shared" si="1"/>
        <v>0.6</v>
      </c>
    </row>
    <row r="26" spans="7:16">
      <c r="G26" s="41" t="s">
        <v>64</v>
      </c>
      <c r="H26" s="24">
        <v>0.3</v>
      </c>
      <c r="I26" s="24">
        <v>2</v>
      </c>
      <c r="J26" s="24">
        <f t="shared" si="0"/>
        <v>0.3</v>
      </c>
      <c r="K26" s="24">
        <v>0</v>
      </c>
      <c r="L26" s="24">
        <v>0</v>
      </c>
      <c r="M26" s="24">
        <f t="shared" si="1"/>
        <v>0.6</v>
      </c>
    </row>
    <row r="27" spans="7:16">
      <c r="G27" s="41" t="s">
        <v>65</v>
      </c>
      <c r="H27" s="24">
        <v>1</v>
      </c>
      <c r="I27" s="24">
        <v>2</v>
      </c>
      <c r="J27" s="24">
        <f t="shared" si="0"/>
        <v>1</v>
      </c>
      <c r="K27" s="24">
        <v>0</v>
      </c>
      <c r="L27" s="24">
        <v>0</v>
      </c>
      <c r="M27" s="24">
        <f t="shared" si="1"/>
        <v>2</v>
      </c>
    </row>
    <row r="28" spans="7:16">
      <c r="G28" s="41" t="s">
        <v>66</v>
      </c>
      <c r="H28" s="24">
        <v>1</v>
      </c>
      <c r="I28" s="24">
        <v>2</v>
      </c>
      <c r="J28" s="24">
        <f t="shared" si="0"/>
        <v>1</v>
      </c>
      <c r="K28" s="24">
        <v>0</v>
      </c>
      <c r="L28" s="24">
        <v>0</v>
      </c>
      <c r="M28" s="24">
        <f t="shared" si="1"/>
        <v>2</v>
      </c>
    </row>
    <row r="29" spans="7:16">
      <c r="G29" s="41" t="s">
        <v>67</v>
      </c>
      <c r="H29" s="24">
        <v>1.5</v>
      </c>
      <c r="I29" s="24">
        <v>2</v>
      </c>
      <c r="J29" s="24">
        <f t="shared" si="0"/>
        <v>1.5</v>
      </c>
      <c r="K29" s="24">
        <v>0</v>
      </c>
      <c r="L29" s="24">
        <v>0</v>
      </c>
      <c r="M29" s="24">
        <f t="shared" si="1"/>
        <v>3</v>
      </c>
    </row>
    <row r="30" spans="7:16">
      <c r="G30" s="41" t="s">
        <v>68</v>
      </c>
      <c r="H30" s="24">
        <v>1.5</v>
      </c>
      <c r="I30" s="24">
        <v>2</v>
      </c>
      <c r="J30" s="24">
        <f t="shared" si="0"/>
        <v>1.5</v>
      </c>
      <c r="K30" s="24">
        <v>0</v>
      </c>
      <c r="L30" s="24">
        <v>0</v>
      </c>
      <c r="M30" s="24">
        <f t="shared" si="1"/>
        <v>3</v>
      </c>
    </row>
    <row r="31" spans="7:16">
      <c r="G31" s="41" t="s">
        <v>69</v>
      </c>
      <c r="H31" s="24">
        <v>1.9</v>
      </c>
      <c r="I31" s="24">
        <v>2</v>
      </c>
      <c r="J31" s="24">
        <f t="shared" si="0"/>
        <v>1.9</v>
      </c>
      <c r="K31" s="24">
        <v>0</v>
      </c>
      <c r="L31" s="24">
        <v>0</v>
      </c>
      <c r="M31" s="24">
        <f t="shared" si="1"/>
        <v>3.8</v>
      </c>
    </row>
    <row r="32" spans="7:16">
      <c r="G32" s="41" t="s">
        <v>70</v>
      </c>
      <c r="H32" s="24">
        <v>1.9</v>
      </c>
      <c r="I32" s="24">
        <v>2</v>
      </c>
      <c r="J32" s="24">
        <f t="shared" si="0"/>
        <v>1.9</v>
      </c>
      <c r="K32" s="24">
        <v>0</v>
      </c>
      <c r="L32" s="24">
        <v>0</v>
      </c>
      <c r="M32" s="24">
        <f t="shared" si="1"/>
        <v>3.8</v>
      </c>
    </row>
    <row r="33" spans="7:13">
      <c r="G33" s="41" t="s">
        <v>71</v>
      </c>
      <c r="H33" s="24">
        <v>4.0999999999999996</v>
      </c>
      <c r="I33" s="24">
        <v>2</v>
      </c>
      <c r="J33" s="24">
        <f t="shared" si="0"/>
        <v>4.0999999999999996</v>
      </c>
      <c r="K33" s="24">
        <v>0</v>
      </c>
      <c r="L33" s="24">
        <v>0</v>
      </c>
      <c r="M33" s="24">
        <f t="shared" si="1"/>
        <v>8.1999999999999993</v>
      </c>
    </row>
    <row r="34" spans="7:13">
      <c r="G34" s="41" t="s">
        <v>72</v>
      </c>
      <c r="H34" s="24">
        <v>4.55</v>
      </c>
      <c r="I34" s="24">
        <v>2</v>
      </c>
      <c r="J34" s="24">
        <f t="shared" si="0"/>
        <v>4.55</v>
      </c>
      <c r="K34" s="24">
        <v>0</v>
      </c>
      <c r="L34" s="24">
        <v>0</v>
      </c>
      <c r="M34" s="24">
        <f t="shared" si="1"/>
        <v>9.1</v>
      </c>
    </row>
    <row r="35" spans="7:13">
      <c r="G35" s="41" t="s">
        <v>73</v>
      </c>
      <c r="H35" s="24">
        <v>0.3</v>
      </c>
      <c r="I35" s="24">
        <v>2</v>
      </c>
      <c r="J35" s="24">
        <f t="shared" si="0"/>
        <v>0.3</v>
      </c>
      <c r="K35" s="24">
        <v>0</v>
      </c>
      <c r="L35" s="24">
        <v>0</v>
      </c>
      <c r="M35" s="24">
        <f t="shared" si="1"/>
        <v>0.6</v>
      </c>
    </row>
    <row r="36" spans="7:13">
      <c r="G36" s="41" t="s">
        <v>74</v>
      </c>
      <c r="H36" s="24">
        <v>0.45</v>
      </c>
      <c r="I36" s="24">
        <v>2</v>
      </c>
      <c r="J36" s="24">
        <f t="shared" si="0"/>
        <v>0.45</v>
      </c>
      <c r="K36" s="24">
        <v>0</v>
      </c>
      <c r="L36" s="24">
        <v>0</v>
      </c>
      <c r="M36" s="24">
        <f t="shared" si="1"/>
        <v>0.9</v>
      </c>
    </row>
    <row r="37" spans="7:13">
      <c r="G37" s="41" t="s">
        <v>75</v>
      </c>
      <c r="H37" s="24">
        <v>1.3</v>
      </c>
      <c r="I37" s="24">
        <v>2</v>
      </c>
      <c r="J37" s="24">
        <f t="shared" si="0"/>
        <v>1.3</v>
      </c>
      <c r="K37" s="24">
        <v>0</v>
      </c>
      <c r="L37" s="24">
        <v>0</v>
      </c>
      <c r="M37" s="24">
        <f t="shared" si="1"/>
        <v>2.6</v>
      </c>
    </row>
    <row r="38" spans="7:13">
      <c r="G38" s="41" t="s">
        <v>76</v>
      </c>
      <c r="H38" s="24">
        <v>0.9</v>
      </c>
      <c r="I38" s="24">
        <v>2</v>
      </c>
      <c r="J38" s="24">
        <f t="shared" si="0"/>
        <v>0.9</v>
      </c>
      <c r="K38" s="24">
        <v>0</v>
      </c>
      <c r="L38" s="24">
        <v>0</v>
      </c>
      <c r="M38" s="24">
        <f t="shared" si="1"/>
        <v>1.8</v>
      </c>
    </row>
    <row r="39" spans="7:13">
      <c r="G39" s="41" t="s">
        <v>77</v>
      </c>
      <c r="H39" s="24">
        <v>0.9</v>
      </c>
      <c r="I39" s="24">
        <v>2</v>
      </c>
      <c r="J39" s="24">
        <f t="shared" si="0"/>
        <v>0.9</v>
      </c>
      <c r="K39" s="24">
        <v>0</v>
      </c>
      <c r="L39" s="24">
        <v>0</v>
      </c>
      <c r="M39" s="24">
        <f t="shared" si="1"/>
        <v>1.8</v>
      </c>
    </row>
    <row r="40" spans="7:13">
      <c r="G40" s="41" t="s">
        <v>78</v>
      </c>
      <c r="H40" s="24">
        <v>8.5500000000000007</v>
      </c>
      <c r="I40" s="24">
        <v>8</v>
      </c>
      <c r="J40" s="24">
        <v>0</v>
      </c>
      <c r="K40" s="24">
        <f>H40</f>
        <v>8.5500000000000007</v>
      </c>
      <c r="L40" s="24">
        <v>0</v>
      </c>
      <c r="M40" s="24">
        <f t="shared" si="1"/>
        <v>68.400000000000006</v>
      </c>
    </row>
    <row r="41" spans="7:13">
      <c r="G41" s="41" t="s">
        <v>79</v>
      </c>
      <c r="H41" s="24">
        <v>4.4000000000000004</v>
      </c>
      <c r="I41" s="24">
        <v>2</v>
      </c>
      <c r="J41" s="24">
        <v>0</v>
      </c>
      <c r="K41" s="24">
        <f>H41</f>
        <v>4.4000000000000004</v>
      </c>
      <c r="L41" s="24">
        <v>0</v>
      </c>
      <c r="M41" s="24">
        <f t="shared" si="1"/>
        <v>8.8000000000000007</v>
      </c>
    </row>
    <row r="42" spans="7:13">
      <c r="G42" s="41" t="s">
        <v>80</v>
      </c>
      <c r="H42" s="24">
        <v>14.9</v>
      </c>
      <c r="I42" s="24">
        <v>2</v>
      </c>
      <c r="J42" s="24">
        <v>0</v>
      </c>
      <c r="K42" s="24">
        <f>H42</f>
        <v>14.9</v>
      </c>
      <c r="L42" s="24">
        <v>0</v>
      </c>
      <c r="M42" s="24">
        <f t="shared" si="1"/>
        <v>29.8</v>
      </c>
    </row>
    <row r="43" spans="7:13">
      <c r="G43" s="41" t="s">
        <v>81</v>
      </c>
      <c r="H43" s="24">
        <v>8.9499999999999993</v>
      </c>
      <c r="I43" s="24">
        <v>2</v>
      </c>
      <c r="J43" s="24">
        <v>0</v>
      </c>
      <c r="K43" s="24">
        <f>H43</f>
        <v>8.9499999999999993</v>
      </c>
      <c r="L43" s="24">
        <v>0</v>
      </c>
      <c r="M43" s="24">
        <f t="shared" si="1"/>
        <v>17.899999999999999</v>
      </c>
    </row>
    <row r="44" spans="7:13">
      <c r="G44" s="55" t="s">
        <v>82</v>
      </c>
      <c r="H44" s="24">
        <v>4.2</v>
      </c>
      <c r="I44" s="24">
        <f>SUM(I23:I43)</f>
        <v>48</v>
      </c>
      <c r="J44" s="24">
        <v>0</v>
      </c>
      <c r="K44" s="24">
        <f>H44</f>
        <v>4.2</v>
      </c>
      <c r="L44" s="24">
        <v>0</v>
      </c>
      <c r="M44" s="24">
        <f t="shared" si="1"/>
        <v>201.60000000000002</v>
      </c>
    </row>
    <row r="45" spans="7:13">
      <c r="J45" s="44">
        <f>ROUNDUP(SUM(J23:J44),0)</f>
        <v>26</v>
      </c>
      <c r="K45" s="44">
        <f t="shared" ref="K45:M45" si="2">ROUNDUP(SUM(K23:K44),0)</f>
        <v>41</v>
      </c>
      <c r="L45" s="44">
        <v>0</v>
      </c>
      <c r="M45" s="44">
        <f t="shared" si="2"/>
        <v>377</v>
      </c>
    </row>
    <row r="49" spans="7:13">
      <c r="G49" s="138" t="s">
        <v>87</v>
      </c>
      <c r="H49" s="138"/>
      <c r="I49" s="138"/>
      <c r="J49" s="138"/>
      <c r="K49" s="138"/>
      <c r="L49" s="138"/>
      <c r="M49" s="138"/>
    </row>
    <row r="50" spans="7:13">
      <c r="G50" s="41" t="s">
        <v>60</v>
      </c>
      <c r="H50" s="41" t="s">
        <v>19</v>
      </c>
      <c r="I50" s="41" t="s">
        <v>83</v>
      </c>
      <c r="J50" s="41" t="s">
        <v>126</v>
      </c>
      <c r="K50" s="41" t="s">
        <v>127</v>
      </c>
      <c r="L50" s="41" t="s">
        <v>85</v>
      </c>
      <c r="M50" s="41" t="s">
        <v>84</v>
      </c>
    </row>
    <row r="51" spans="7:13">
      <c r="G51" s="41" t="s">
        <v>88</v>
      </c>
      <c r="H51" s="24">
        <f>18.2+1</f>
        <v>19.2</v>
      </c>
      <c r="I51" s="24">
        <v>3</v>
      </c>
      <c r="J51" s="24">
        <v>0</v>
      </c>
      <c r="K51" s="24">
        <v>0</v>
      </c>
      <c r="L51" s="24">
        <f>H51</f>
        <v>19.2</v>
      </c>
      <c r="M51" s="24">
        <f>I51*(J51+K51+L51)</f>
        <v>57.599999999999994</v>
      </c>
    </row>
    <row r="52" spans="7:13">
      <c r="G52" s="41" t="s">
        <v>89</v>
      </c>
      <c r="H52" s="24">
        <f>14.4+1.5</f>
        <v>15.9</v>
      </c>
      <c r="I52" s="24">
        <v>3</v>
      </c>
      <c r="J52" s="24">
        <v>0</v>
      </c>
      <c r="K52" s="24">
        <v>0</v>
      </c>
      <c r="L52" s="24">
        <f t="shared" ref="L52:L101" si="3">H52</f>
        <v>15.9</v>
      </c>
      <c r="M52" s="24">
        <f t="shared" ref="M52:M101" si="4">I52*(J52+K52+L52)</f>
        <v>47.7</v>
      </c>
    </row>
    <row r="53" spans="7:13">
      <c r="G53" s="41" t="s">
        <v>90</v>
      </c>
      <c r="H53" s="24">
        <f>11.7+1.5</f>
        <v>13.2</v>
      </c>
      <c r="I53" s="24">
        <v>3</v>
      </c>
      <c r="J53" s="24">
        <v>0</v>
      </c>
      <c r="K53" s="24">
        <v>0</v>
      </c>
      <c r="L53" s="24">
        <f t="shared" si="3"/>
        <v>13.2</v>
      </c>
      <c r="M53" s="24">
        <f t="shared" si="4"/>
        <v>39.599999999999994</v>
      </c>
    </row>
    <row r="54" spans="7:13">
      <c r="G54" s="41" t="s">
        <v>91</v>
      </c>
      <c r="H54" s="24">
        <f>15+1</f>
        <v>16</v>
      </c>
      <c r="I54" s="24">
        <v>3</v>
      </c>
      <c r="J54" s="24">
        <v>0</v>
      </c>
      <c r="K54" s="24">
        <v>0</v>
      </c>
      <c r="L54" s="24">
        <f t="shared" si="3"/>
        <v>16</v>
      </c>
      <c r="M54" s="24">
        <f t="shared" si="4"/>
        <v>48</v>
      </c>
    </row>
    <row r="55" spans="7:13">
      <c r="G55" s="41" t="s">
        <v>92</v>
      </c>
      <c r="H55" s="24">
        <f>14.7+1.5</f>
        <v>16.2</v>
      </c>
      <c r="I55" s="24">
        <v>3</v>
      </c>
      <c r="J55" s="24">
        <v>0</v>
      </c>
      <c r="K55" s="24">
        <v>0</v>
      </c>
      <c r="L55" s="24">
        <f t="shared" si="3"/>
        <v>16.2</v>
      </c>
      <c r="M55" s="24">
        <f t="shared" si="4"/>
        <v>48.599999999999994</v>
      </c>
    </row>
    <row r="56" spans="7:13">
      <c r="G56" s="41" t="s">
        <v>93</v>
      </c>
      <c r="H56" s="24">
        <f>12+1.5</f>
        <v>13.5</v>
      </c>
      <c r="I56" s="24">
        <v>3</v>
      </c>
      <c r="J56" s="24">
        <v>0</v>
      </c>
      <c r="K56" s="24">
        <v>0</v>
      </c>
      <c r="L56" s="24">
        <f t="shared" si="3"/>
        <v>13.5</v>
      </c>
      <c r="M56" s="24">
        <f t="shared" si="4"/>
        <v>40.5</v>
      </c>
    </row>
    <row r="57" spans="7:13">
      <c r="G57" s="41" t="s">
        <v>94</v>
      </c>
      <c r="H57" s="24">
        <f>13.9+1.5</f>
        <v>15.4</v>
      </c>
      <c r="I57" s="24">
        <v>3</v>
      </c>
      <c r="J57" s="24">
        <v>0</v>
      </c>
      <c r="K57" s="24">
        <v>0</v>
      </c>
      <c r="L57" s="24">
        <f t="shared" si="3"/>
        <v>15.4</v>
      </c>
      <c r="M57" s="24">
        <f t="shared" si="4"/>
        <v>46.2</v>
      </c>
    </row>
    <row r="58" spans="7:13">
      <c r="G58" s="41" t="s">
        <v>95</v>
      </c>
      <c r="H58" s="24">
        <f>14.6+1</f>
        <v>15.6</v>
      </c>
      <c r="I58" s="24">
        <v>3</v>
      </c>
      <c r="J58" s="24">
        <v>0</v>
      </c>
      <c r="K58" s="24">
        <v>0</v>
      </c>
      <c r="L58" s="24">
        <f t="shared" si="3"/>
        <v>15.6</v>
      </c>
      <c r="M58" s="24">
        <f t="shared" si="4"/>
        <v>46.8</v>
      </c>
    </row>
    <row r="59" spans="7:13">
      <c r="G59" s="41" t="s">
        <v>96</v>
      </c>
      <c r="H59" s="24">
        <f>9+1.5</f>
        <v>10.5</v>
      </c>
      <c r="I59" s="24">
        <v>3</v>
      </c>
      <c r="J59" s="24">
        <v>0</v>
      </c>
      <c r="K59" s="24">
        <v>0</v>
      </c>
      <c r="L59" s="24">
        <f t="shared" si="3"/>
        <v>10.5</v>
      </c>
      <c r="M59" s="24">
        <f t="shared" si="4"/>
        <v>31.5</v>
      </c>
    </row>
    <row r="60" spans="7:13">
      <c r="G60" s="41" t="s">
        <v>97</v>
      </c>
      <c r="H60" s="24">
        <f>6.65+1.5</f>
        <v>8.15</v>
      </c>
      <c r="I60" s="24">
        <v>3</v>
      </c>
      <c r="J60" s="24">
        <v>0</v>
      </c>
      <c r="K60" s="24">
        <v>0</v>
      </c>
      <c r="L60" s="24">
        <f t="shared" si="3"/>
        <v>8.15</v>
      </c>
      <c r="M60" s="24">
        <f t="shared" si="4"/>
        <v>24.450000000000003</v>
      </c>
    </row>
    <row r="61" spans="7:13">
      <c r="G61" s="41" t="s">
        <v>98</v>
      </c>
      <c r="H61" s="24">
        <f>6.2+1.5</f>
        <v>7.7</v>
      </c>
      <c r="I61" s="24">
        <v>3</v>
      </c>
      <c r="J61" s="24">
        <v>0</v>
      </c>
      <c r="K61" s="24">
        <v>0</v>
      </c>
      <c r="L61" s="24">
        <f t="shared" si="3"/>
        <v>7.7</v>
      </c>
      <c r="M61" s="24">
        <f t="shared" si="4"/>
        <v>23.1</v>
      </c>
    </row>
    <row r="62" spans="7:13">
      <c r="G62" s="41" t="s">
        <v>99</v>
      </c>
      <c r="H62" s="24">
        <f>6.95+1.5</f>
        <v>8.4499999999999993</v>
      </c>
      <c r="I62" s="24">
        <v>3</v>
      </c>
      <c r="J62" s="24">
        <v>0</v>
      </c>
      <c r="K62" s="24">
        <v>0</v>
      </c>
      <c r="L62" s="24">
        <f t="shared" si="3"/>
        <v>8.4499999999999993</v>
      </c>
      <c r="M62" s="24">
        <f t="shared" si="4"/>
        <v>25.349999999999998</v>
      </c>
    </row>
    <row r="63" spans="7:13">
      <c r="G63" s="41" t="s">
        <v>100</v>
      </c>
      <c r="H63" s="24">
        <f>6.95+1.5</f>
        <v>8.4499999999999993</v>
      </c>
      <c r="I63" s="24">
        <v>3</v>
      </c>
      <c r="J63" s="24">
        <v>0</v>
      </c>
      <c r="K63" s="24">
        <v>0</v>
      </c>
      <c r="L63" s="24">
        <f t="shared" si="3"/>
        <v>8.4499999999999993</v>
      </c>
      <c r="M63" s="24">
        <f t="shared" si="4"/>
        <v>25.349999999999998</v>
      </c>
    </row>
    <row r="64" spans="7:13">
      <c r="G64" s="41" t="s">
        <v>101</v>
      </c>
      <c r="H64" s="24">
        <f>9+1.5</f>
        <v>10.5</v>
      </c>
      <c r="I64" s="24">
        <v>3</v>
      </c>
      <c r="J64" s="24">
        <v>0</v>
      </c>
      <c r="K64" s="24">
        <v>0</v>
      </c>
      <c r="L64" s="24">
        <f t="shared" si="3"/>
        <v>10.5</v>
      </c>
      <c r="M64" s="24">
        <f t="shared" si="4"/>
        <v>31.5</v>
      </c>
    </row>
    <row r="65" spans="7:13">
      <c r="G65" s="41" t="s">
        <v>102</v>
      </c>
      <c r="H65" s="24">
        <f>9+1.5</f>
        <v>10.5</v>
      </c>
      <c r="I65" s="24">
        <v>3</v>
      </c>
      <c r="J65" s="24">
        <v>0</v>
      </c>
      <c r="K65" s="24">
        <v>0</v>
      </c>
      <c r="L65" s="24">
        <f t="shared" si="3"/>
        <v>10.5</v>
      </c>
      <c r="M65" s="24">
        <f t="shared" si="4"/>
        <v>31.5</v>
      </c>
    </row>
    <row r="66" spans="7:13">
      <c r="G66" s="41" t="s">
        <v>103</v>
      </c>
      <c r="H66" s="24">
        <f>11.55+1.5</f>
        <v>13.05</v>
      </c>
      <c r="I66" s="24">
        <v>3</v>
      </c>
      <c r="J66" s="24">
        <v>0</v>
      </c>
      <c r="K66" s="24">
        <v>0</v>
      </c>
      <c r="L66" s="24">
        <f t="shared" si="3"/>
        <v>13.05</v>
      </c>
      <c r="M66" s="24">
        <f t="shared" si="4"/>
        <v>39.150000000000006</v>
      </c>
    </row>
    <row r="67" spans="7:13">
      <c r="G67" s="41" t="s">
        <v>104</v>
      </c>
      <c r="H67" s="24">
        <f>12.8+1.5</f>
        <v>14.3</v>
      </c>
      <c r="I67" s="24">
        <v>3</v>
      </c>
      <c r="J67" s="24">
        <v>0</v>
      </c>
      <c r="K67" s="24">
        <v>0</v>
      </c>
      <c r="L67" s="24">
        <f t="shared" si="3"/>
        <v>14.3</v>
      </c>
      <c r="M67" s="24">
        <f t="shared" si="4"/>
        <v>42.900000000000006</v>
      </c>
    </row>
    <row r="68" spans="7:13">
      <c r="G68" s="41" t="s">
        <v>105</v>
      </c>
      <c r="H68" s="24">
        <f>12.15+1</f>
        <v>13.15</v>
      </c>
      <c r="I68" s="24">
        <v>3</v>
      </c>
      <c r="J68" s="24">
        <v>0</v>
      </c>
      <c r="K68" s="24">
        <v>0</v>
      </c>
      <c r="L68" s="24">
        <f t="shared" si="3"/>
        <v>13.15</v>
      </c>
      <c r="M68" s="24">
        <f t="shared" si="4"/>
        <v>39.450000000000003</v>
      </c>
    </row>
    <row r="69" spans="7:13">
      <c r="G69" s="41" t="s">
        <v>106</v>
      </c>
      <c r="H69" s="24">
        <f>12.4+1</f>
        <v>13.4</v>
      </c>
      <c r="I69" s="24">
        <v>3</v>
      </c>
      <c r="J69" s="24">
        <v>0</v>
      </c>
      <c r="K69" s="24">
        <v>0</v>
      </c>
      <c r="L69" s="24">
        <f t="shared" si="3"/>
        <v>13.4</v>
      </c>
      <c r="M69" s="24">
        <f t="shared" si="4"/>
        <v>40.200000000000003</v>
      </c>
    </row>
    <row r="70" spans="7:13">
      <c r="G70" s="41" t="s">
        <v>107</v>
      </c>
      <c r="H70" s="24">
        <f>14.25+1</f>
        <v>15.25</v>
      </c>
      <c r="I70" s="24">
        <v>3</v>
      </c>
      <c r="J70" s="24">
        <v>0</v>
      </c>
      <c r="K70" s="24">
        <v>0</v>
      </c>
      <c r="L70" s="24">
        <f t="shared" si="3"/>
        <v>15.25</v>
      </c>
      <c r="M70" s="24">
        <f t="shared" si="4"/>
        <v>45.75</v>
      </c>
    </row>
    <row r="71" spans="7:13">
      <c r="G71" s="41" t="s">
        <v>108</v>
      </c>
      <c r="H71" s="24">
        <f>14.45+1</f>
        <v>15.45</v>
      </c>
      <c r="I71" s="24">
        <v>3</v>
      </c>
      <c r="J71" s="24">
        <v>0</v>
      </c>
      <c r="K71" s="24">
        <v>0</v>
      </c>
      <c r="L71" s="24">
        <f t="shared" si="3"/>
        <v>15.45</v>
      </c>
      <c r="M71" s="24">
        <f t="shared" si="4"/>
        <v>46.349999999999994</v>
      </c>
    </row>
    <row r="72" spans="7:13">
      <c r="G72" s="41" t="s">
        <v>109</v>
      </c>
      <c r="H72" s="24">
        <f>13.9+1</f>
        <v>14.9</v>
      </c>
      <c r="I72" s="24">
        <v>3</v>
      </c>
      <c r="J72" s="24">
        <v>0</v>
      </c>
      <c r="K72" s="24">
        <v>0</v>
      </c>
      <c r="L72" s="24">
        <f t="shared" si="3"/>
        <v>14.9</v>
      </c>
      <c r="M72" s="24">
        <f t="shared" si="4"/>
        <v>44.7</v>
      </c>
    </row>
    <row r="73" spans="7:13">
      <c r="G73" s="41" t="s">
        <v>110</v>
      </c>
      <c r="H73" s="24">
        <f>14.15+1</f>
        <v>15.15</v>
      </c>
      <c r="I73" s="24">
        <v>3</v>
      </c>
      <c r="J73" s="24">
        <v>0</v>
      </c>
      <c r="K73" s="24">
        <v>0</v>
      </c>
      <c r="L73" s="24">
        <f t="shared" si="3"/>
        <v>15.15</v>
      </c>
      <c r="M73" s="24">
        <f t="shared" si="4"/>
        <v>45.45</v>
      </c>
    </row>
    <row r="74" spans="7:13">
      <c r="G74" s="41" t="s">
        <v>111</v>
      </c>
      <c r="H74" s="24">
        <f>15.65+1</f>
        <v>16.649999999999999</v>
      </c>
      <c r="I74" s="24">
        <v>3</v>
      </c>
      <c r="J74" s="24">
        <v>0</v>
      </c>
      <c r="K74" s="24">
        <v>0</v>
      </c>
      <c r="L74" s="24">
        <f t="shared" si="3"/>
        <v>16.649999999999999</v>
      </c>
      <c r="M74" s="24">
        <f t="shared" si="4"/>
        <v>49.949999999999996</v>
      </c>
    </row>
    <row r="75" spans="7:13">
      <c r="G75" s="41" t="s">
        <v>112</v>
      </c>
      <c r="H75" s="24">
        <f>15.85+1</f>
        <v>16.850000000000001</v>
      </c>
      <c r="I75" s="24">
        <v>3</v>
      </c>
      <c r="J75" s="24">
        <v>0</v>
      </c>
      <c r="K75" s="24">
        <v>0</v>
      </c>
      <c r="L75" s="24">
        <f t="shared" si="3"/>
        <v>16.850000000000001</v>
      </c>
      <c r="M75" s="24">
        <f t="shared" si="4"/>
        <v>50.550000000000004</v>
      </c>
    </row>
    <row r="76" spans="7:13">
      <c r="G76" s="41" t="s">
        <v>113</v>
      </c>
      <c r="H76" s="24">
        <f>17.4+1</f>
        <v>18.399999999999999</v>
      </c>
      <c r="I76" s="24">
        <v>3</v>
      </c>
      <c r="J76" s="24">
        <v>0</v>
      </c>
      <c r="K76" s="24">
        <v>0</v>
      </c>
      <c r="L76" s="24">
        <f t="shared" si="3"/>
        <v>18.399999999999999</v>
      </c>
      <c r="M76" s="24">
        <f t="shared" si="4"/>
        <v>55.199999999999996</v>
      </c>
    </row>
    <row r="77" spans="7:13">
      <c r="G77" s="41" t="s">
        <v>114</v>
      </c>
      <c r="H77" s="24">
        <f>17.6+1</f>
        <v>18.600000000000001</v>
      </c>
      <c r="I77" s="24">
        <v>3</v>
      </c>
      <c r="J77" s="24">
        <v>0</v>
      </c>
      <c r="K77" s="24">
        <v>0</v>
      </c>
      <c r="L77" s="24">
        <f t="shared" si="3"/>
        <v>18.600000000000001</v>
      </c>
      <c r="M77" s="24">
        <f t="shared" si="4"/>
        <v>55.800000000000004</v>
      </c>
    </row>
    <row r="78" spans="7:13">
      <c r="G78" s="41" t="s">
        <v>115</v>
      </c>
      <c r="H78" s="24">
        <f>19.4+1</f>
        <v>20.399999999999999</v>
      </c>
      <c r="I78" s="24">
        <v>3</v>
      </c>
      <c r="J78" s="24">
        <v>0</v>
      </c>
      <c r="K78" s="24">
        <v>0</v>
      </c>
      <c r="L78" s="24">
        <f t="shared" si="3"/>
        <v>20.399999999999999</v>
      </c>
      <c r="M78" s="24">
        <f t="shared" si="4"/>
        <v>61.199999999999996</v>
      </c>
    </row>
    <row r="79" spans="7:13">
      <c r="G79" s="41" t="s">
        <v>116</v>
      </c>
      <c r="H79" s="24">
        <f>20.3+1</f>
        <v>21.3</v>
      </c>
      <c r="I79" s="24">
        <v>3</v>
      </c>
      <c r="J79" s="24">
        <v>0</v>
      </c>
      <c r="K79" s="24">
        <v>0</v>
      </c>
      <c r="L79" s="24">
        <f t="shared" si="3"/>
        <v>21.3</v>
      </c>
      <c r="M79" s="24">
        <f t="shared" si="4"/>
        <v>63.900000000000006</v>
      </c>
    </row>
    <row r="80" spans="7:13">
      <c r="G80" s="41" t="s">
        <v>117</v>
      </c>
      <c r="H80" s="24">
        <f>20.7+1</f>
        <v>21.7</v>
      </c>
      <c r="I80" s="24">
        <v>3</v>
      </c>
      <c r="J80" s="24">
        <v>0</v>
      </c>
      <c r="K80" s="24">
        <v>0</v>
      </c>
      <c r="L80" s="24">
        <f t="shared" si="3"/>
        <v>21.7</v>
      </c>
      <c r="M80" s="24">
        <f t="shared" si="4"/>
        <v>65.099999999999994</v>
      </c>
    </row>
    <row r="81" spans="7:13">
      <c r="G81" s="41" t="s">
        <v>118</v>
      </c>
      <c r="H81" s="24">
        <f>23.15+1.5</f>
        <v>24.65</v>
      </c>
      <c r="I81" s="24">
        <v>3</v>
      </c>
      <c r="J81" s="24">
        <v>0</v>
      </c>
      <c r="K81" s="24">
        <v>0</v>
      </c>
      <c r="L81" s="24">
        <f t="shared" si="3"/>
        <v>24.65</v>
      </c>
      <c r="M81" s="24">
        <f t="shared" si="4"/>
        <v>73.949999999999989</v>
      </c>
    </row>
    <row r="82" spans="7:13">
      <c r="G82" s="41" t="s">
        <v>119</v>
      </c>
      <c r="H82" s="24">
        <f>25.75+1.5</f>
        <v>27.25</v>
      </c>
      <c r="I82" s="24">
        <v>3</v>
      </c>
      <c r="J82" s="24">
        <v>0</v>
      </c>
      <c r="K82" s="24">
        <v>0</v>
      </c>
      <c r="L82" s="24">
        <f t="shared" si="3"/>
        <v>27.25</v>
      </c>
      <c r="M82" s="24">
        <f t="shared" si="4"/>
        <v>81.75</v>
      </c>
    </row>
    <row r="83" spans="7:13">
      <c r="G83" s="41" t="s">
        <v>120</v>
      </c>
      <c r="H83" s="24">
        <f>8.05+1.5</f>
        <v>9.5500000000000007</v>
      </c>
      <c r="I83" s="24">
        <v>3</v>
      </c>
      <c r="J83" s="24">
        <v>0</v>
      </c>
      <c r="K83" s="24">
        <v>0</v>
      </c>
      <c r="L83" s="24">
        <f t="shared" si="3"/>
        <v>9.5500000000000007</v>
      </c>
      <c r="M83" s="24">
        <f t="shared" si="4"/>
        <v>28.650000000000002</v>
      </c>
    </row>
    <row r="84" spans="7:13">
      <c r="G84" s="41" t="s">
        <v>121</v>
      </c>
      <c r="H84" s="24">
        <f>11.35+1.5</f>
        <v>12.85</v>
      </c>
      <c r="I84" s="24">
        <v>3</v>
      </c>
      <c r="J84" s="24">
        <v>0</v>
      </c>
      <c r="K84" s="24">
        <v>0</v>
      </c>
      <c r="L84" s="24">
        <f t="shared" si="3"/>
        <v>12.85</v>
      </c>
      <c r="M84" s="24">
        <f t="shared" si="4"/>
        <v>38.549999999999997</v>
      </c>
    </row>
    <row r="85" spans="7:13">
      <c r="G85" s="41" t="s">
        <v>122</v>
      </c>
      <c r="H85" s="24">
        <f>13.15+1.5</f>
        <v>14.65</v>
      </c>
      <c r="I85" s="24">
        <v>3</v>
      </c>
      <c r="J85" s="24">
        <v>0</v>
      </c>
      <c r="K85" s="24">
        <v>0</v>
      </c>
      <c r="L85" s="24">
        <f t="shared" si="3"/>
        <v>14.65</v>
      </c>
      <c r="M85" s="24">
        <f t="shared" si="4"/>
        <v>43.95</v>
      </c>
    </row>
    <row r="86" spans="7:13">
      <c r="G86" s="41" t="s">
        <v>123</v>
      </c>
      <c r="H86" s="24">
        <f>13.4+1</f>
        <v>14.4</v>
      </c>
      <c r="I86" s="24">
        <v>3</v>
      </c>
      <c r="J86" s="24">
        <v>0</v>
      </c>
      <c r="K86" s="24">
        <v>0</v>
      </c>
      <c r="L86" s="24">
        <f t="shared" si="3"/>
        <v>14.4</v>
      </c>
      <c r="M86" s="24">
        <f t="shared" si="4"/>
        <v>43.2</v>
      </c>
    </row>
    <row r="87" spans="7:13">
      <c r="G87" s="41" t="s">
        <v>124</v>
      </c>
      <c r="H87" s="24">
        <f>13.7+1</f>
        <v>14.7</v>
      </c>
      <c r="I87" s="24">
        <v>3</v>
      </c>
      <c r="J87" s="24">
        <v>0</v>
      </c>
      <c r="K87" s="24">
        <v>0</v>
      </c>
      <c r="L87" s="24">
        <f t="shared" si="3"/>
        <v>14.7</v>
      </c>
      <c r="M87" s="24">
        <f t="shared" si="4"/>
        <v>44.099999999999994</v>
      </c>
    </row>
    <row r="88" spans="7:13">
      <c r="G88" s="41" t="s">
        <v>125</v>
      </c>
      <c r="H88" s="24">
        <f>13.6+1.5</f>
        <v>15.1</v>
      </c>
      <c r="I88" s="24">
        <v>3</v>
      </c>
      <c r="J88" s="24">
        <v>0</v>
      </c>
      <c r="K88" s="24">
        <v>0</v>
      </c>
      <c r="L88" s="24">
        <f t="shared" si="3"/>
        <v>15.1</v>
      </c>
      <c r="M88" s="24">
        <f t="shared" si="4"/>
        <v>45.3</v>
      </c>
    </row>
    <row r="89" spans="7:13">
      <c r="G89" s="55" t="s">
        <v>179</v>
      </c>
      <c r="H89" s="24">
        <f>13.9+1.5</f>
        <v>15.4</v>
      </c>
      <c r="I89" s="24">
        <v>3</v>
      </c>
      <c r="J89" s="24">
        <v>0</v>
      </c>
      <c r="K89" s="24">
        <v>0</v>
      </c>
      <c r="L89" s="24">
        <f t="shared" si="3"/>
        <v>15.4</v>
      </c>
      <c r="M89" s="24">
        <f t="shared" si="4"/>
        <v>46.2</v>
      </c>
    </row>
    <row r="90" spans="7:13">
      <c r="G90" s="55" t="s">
        <v>180</v>
      </c>
      <c r="H90" s="24">
        <f>16.4+1.5</f>
        <v>17.899999999999999</v>
      </c>
      <c r="I90" s="24">
        <v>3</v>
      </c>
      <c r="J90" s="24">
        <v>0</v>
      </c>
      <c r="K90" s="24">
        <v>0</v>
      </c>
      <c r="L90" s="24">
        <f t="shared" si="3"/>
        <v>17.899999999999999</v>
      </c>
      <c r="M90" s="24">
        <f t="shared" si="4"/>
        <v>53.699999999999996</v>
      </c>
    </row>
    <row r="91" spans="7:13">
      <c r="G91" s="55" t="s">
        <v>181</v>
      </c>
      <c r="H91" s="24">
        <f>2.3+1</f>
        <v>3.3</v>
      </c>
      <c r="I91" s="24">
        <v>3</v>
      </c>
      <c r="J91" s="24">
        <v>0</v>
      </c>
      <c r="K91" s="24">
        <v>0</v>
      </c>
      <c r="L91" s="24">
        <f t="shared" si="3"/>
        <v>3.3</v>
      </c>
      <c r="M91" s="24">
        <f t="shared" si="4"/>
        <v>9.8999999999999986</v>
      </c>
    </row>
    <row r="92" spans="7:13">
      <c r="G92" s="55" t="s">
        <v>182</v>
      </c>
      <c r="H92" s="24">
        <f>5.25+1.5</f>
        <v>6.75</v>
      </c>
      <c r="I92" s="24">
        <v>3</v>
      </c>
      <c r="J92" s="24">
        <v>0</v>
      </c>
      <c r="K92" s="24">
        <v>0</v>
      </c>
      <c r="L92" s="24">
        <f t="shared" si="3"/>
        <v>6.75</v>
      </c>
      <c r="M92" s="24">
        <f t="shared" si="4"/>
        <v>20.25</v>
      </c>
    </row>
    <row r="93" spans="7:13">
      <c r="G93" s="55" t="s">
        <v>183</v>
      </c>
      <c r="H93" s="24">
        <f>4.55+1.5</f>
        <v>6.05</v>
      </c>
      <c r="I93" s="24">
        <v>3</v>
      </c>
      <c r="J93" s="24">
        <v>0</v>
      </c>
      <c r="K93" s="24">
        <v>0</v>
      </c>
      <c r="L93" s="24">
        <f t="shared" si="3"/>
        <v>6.05</v>
      </c>
      <c r="M93" s="24">
        <f t="shared" si="4"/>
        <v>18.149999999999999</v>
      </c>
    </row>
    <row r="94" spans="7:13">
      <c r="G94" s="55" t="s">
        <v>184</v>
      </c>
      <c r="H94" s="24">
        <f>7.25+1.5</f>
        <v>8.75</v>
      </c>
      <c r="I94" s="24">
        <v>3</v>
      </c>
      <c r="J94" s="24">
        <v>0</v>
      </c>
      <c r="K94" s="24">
        <v>0</v>
      </c>
      <c r="L94" s="24">
        <f t="shared" si="3"/>
        <v>8.75</v>
      </c>
      <c r="M94" s="24">
        <f t="shared" si="4"/>
        <v>26.25</v>
      </c>
    </row>
    <row r="95" spans="7:13">
      <c r="G95" s="55" t="s">
        <v>185</v>
      </c>
      <c r="H95" s="24">
        <f>10.2+1.5</f>
        <v>11.7</v>
      </c>
      <c r="I95" s="24">
        <v>3</v>
      </c>
      <c r="J95" s="24">
        <v>0</v>
      </c>
      <c r="K95" s="24">
        <v>0</v>
      </c>
      <c r="L95" s="24">
        <f t="shared" si="3"/>
        <v>11.7</v>
      </c>
      <c r="M95" s="24">
        <f t="shared" si="4"/>
        <v>35.099999999999994</v>
      </c>
    </row>
    <row r="96" spans="7:13">
      <c r="G96" s="55" t="s">
        <v>186</v>
      </c>
      <c r="H96" s="24">
        <f>10.45+1.5</f>
        <v>11.95</v>
      </c>
      <c r="I96" s="24">
        <v>3</v>
      </c>
      <c r="J96" s="24">
        <v>0</v>
      </c>
      <c r="K96" s="24">
        <v>0</v>
      </c>
      <c r="L96" s="24">
        <f t="shared" si="3"/>
        <v>11.95</v>
      </c>
      <c r="M96" s="24">
        <f t="shared" si="4"/>
        <v>35.849999999999994</v>
      </c>
    </row>
    <row r="97" spans="7:13">
      <c r="G97" s="55" t="s">
        <v>187</v>
      </c>
      <c r="H97" s="24">
        <f>12.4+1.5</f>
        <v>13.9</v>
      </c>
      <c r="I97" s="24">
        <v>6</v>
      </c>
      <c r="J97" s="24">
        <v>0</v>
      </c>
      <c r="K97" s="24">
        <v>0</v>
      </c>
      <c r="L97" s="24">
        <f t="shared" si="3"/>
        <v>13.9</v>
      </c>
      <c r="M97" s="24">
        <f t="shared" si="4"/>
        <v>83.4</v>
      </c>
    </row>
    <row r="98" spans="7:13">
      <c r="G98" s="55" t="s">
        <v>188</v>
      </c>
      <c r="H98" s="24">
        <f>13+1.5</f>
        <v>14.5</v>
      </c>
      <c r="I98" s="24">
        <v>6</v>
      </c>
      <c r="J98" s="24">
        <v>0</v>
      </c>
      <c r="K98" s="24">
        <v>0</v>
      </c>
      <c r="L98" s="24">
        <f t="shared" si="3"/>
        <v>14.5</v>
      </c>
      <c r="M98" s="24">
        <f t="shared" si="4"/>
        <v>87</v>
      </c>
    </row>
    <row r="99" spans="7:13">
      <c r="G99" s="55" t="s">
        <v>189</v>
      </c>
      <c r="H99" s="24">
        <f>11.75+1.5</f>
        <v>13.25</v>
      </c>
      <c r="I99" s="24">
        <v>3</v>
      </c>
      <c r="J99" s="24">
        <v>0</v>
      </c>
      <c r="K99" s="24">
        <v>0</v>
      </c>
      <c r="L99" s="24">
        <f t="shared" si="3"/>
        <v>13.25</v>
      </c>
      <c r="M99" s="24">
        <f t="shared" si="4"/>
        <v>39.75</v>
      </c>
    </row>
    <row r="100" spans="7:13">
      <c r="G100" s="55" t="s">
        <v>190</v>
      </c>
      <c r="H100" s="24">
        <f>13.55+1</f>
        <v>14.55</v>
      </c>
      <c r="I100" s="24">
        <v>3</v>
      </c>
      <c r="J100" s="24">
        <v>0</v>
      </c>
      <c r="K100" s="24">
        <v>0</v>
      </c>
      <c r="L100" s="24">
        <f t="shared" si="3"/>
        <v>14.55</v>
      </c>
      <c r="M100" s="24">
        <f t="shared" si="4"/>
        <v>43.650000000000006</v>
      </c>
    </row>
    <row r="101" spans="7:13">
      <c r="G101" s="55" t="s">
        <v>191</v>
      </c>
      <c r="H101" s="24">
        <f>16.35+1.5</f>
        <v>17.850000000000001</v>
      </c>
      <c r="I101" s="24">
        <v>3</v>
      </c>
      <c r="J101" s="24">
        <v>0</v>
      </c>
      <c r="K101" s="24">
        <v>0</v>
      </c>
      <c r="L101" s="24">
        <f t="shared" si="3"/>
        <v>17.850000000000001</v>
      </c>
      <c r="M101" s="24">
        <f t="shared" si="4"/>
        <v>53.550000000000004</v>
      </c>
    </row>
    <row r="102" spans="7:13">
      <c r="G102" s="55" t="s">
        <v>192</v>
      </c>
      <c r="H102" s="24">
        <f>17.6+1.5</f>
        <v>19.100000000000001</v>
      </c>
      <c r="I102" s="24">
        <v>3</v>
      </c>
      <c r="J102" s="24">
        <v>0</v>
      </c>
      <c r="K102" s="24">
        <v>0</v>
      </c>
      <c r="L102" s="24">
        <f t="shared" ref="L102:L108" si="5">H102</f>
        <v>19.100000000000001</v>
      </c>
      <c r="M102" s="24">
        <f t="shared" ref="M102:M108" si="6">I102*(J102+K102+L102)</f>
        <v>57.300000000000004</v>
      </c>
    </row>
    <row r="103" spans="7:13">
      <c r="G103" s="55" t="s">
        <v>193</v>
      </c>
      <c r="H103" s="24">
        <f>20.7+1.5</f>
        <v>22.2</v>
      </c>
      <c r="I103" s="24">
        <v>3</v>
      </c>
      <c r="J103" s="24">
        <v>0</v>
      </c>
      <c r="K103" s="24">
        <v>0</v>
      </c>
      <c r="L103" s="24">
        <f t="shared" si="5"/>
        <v>22.2</v>
      </c>
      <c r="M103" s="24">
        <f t="shared" si="6"/>
        <v>66.599999999999994</v>
      </c>
    </row>
    <row r="104" spans="7:13">
      <c r="G104" s="55" t="s">
        <v>194</v>
      </c>
      <c r="H104" s="24">
        <f>5.85+1</f>
        <v>6.85</v>
      </c>
      <c r="I104" s="24">
        <v>3</v>
      </c>
      <c r="J104" s="24">
        <v>0</v>
      </c>
      <c r="K104" s="24">
        <v>0</v>
      </c>
      <c r="L104" s="24">
        <f t="shared" si="5"/>
        <v>6.85</v>
      </c>
      <c r="M104" s="24">
        <f t="shared" si="6"/>
        <v>20.549999999999997</v>
      </c>
    </row>
    <row r="105" spans="7:13">
      <c r="G105" s="55" t="s">
        <v>195</v>
      </c>
      <c r="H105" s="24">
        <f>5.9+1.5</f>
        <v>7.4</v>
      </c>
      <c r="I105" s="24">
        <v>3</v>
      </c>
      <c r="J105" s="24">
        <v>0</v>
      </c>
      <c r="K105" s="24">
        <v>0</v>
      </c>
      <c r="L105" s="24">
        <f t="shared" si="5"/>
        <v>7.4</v>
      </c>
      <c r="M105" s="24">
        <f t="shared" si="6"/>
        <v>22.200000000000003</v>
      </c>
    </row>
    <row r="106" spans="7:13">
      <c r="G106" s="55" t="s">
        <v>196</v>
      </c>
      <c r="H106" s="24">
        <f>7.85+1.5</f>
        <v>9.35</v>
      </c>
      <c r="I106" s="24">
        <v>6</v>
      </c>
      <c r="J106" s="24">
        <v>0</v>
      </c>
      <c r="K106" s="24">
        <v>0</v>
      </c>
      <c r="L106" s="24">
        <f t="shared" si="5"/>
        <v>9.35</v>
      </c>
      <c r="M106" s="24">
        <f t="shared" si="6"/>
        <v>56.099999999999994</v>
      </c>
    </row>
    <row r="107" spans="7:13">
      <c r="G107" s="55" t="s">
        <v>197</v>
      </c>
      <c r="H107" s="24">
        <f>7.85+1.5</f>
        <v>9.35</v>
      </c>
      <c r="I107" s="24">
        <v>3</v>
      </c>
      <c r="J107" s="24">
        <v>0</v>
      </c>
      <c r="K107" s="24">
        <v>0</v>
      </c>
      <c r="L107" s="24">
        <f t="shared" si="5"/>
        <v>9.35</v>
      </c>
      <c r="M107" s="24">
        <f t="shared" si="6"/>
        <v>28.049999999999997</v>
      </c>
    </row>
    <row r="108" spans="7:13">
      <c r="G108" s="55" t="s">
        <v>198</v>
      </c>
      <c r="H108" s="24">
        <f>7.3+1.5</f>
        <v>8.8000000000000007</v>
      </c>
      <c r="I108" s="24">
        <v>3</v>
      </c>
      <c r="J108" s="24">
        <v>0</v>
      </c>
      <c r="K108" s="24">
        <v>0</v>
      </c>
      <c r="L108" s="24">
        <f t="shared" si="5"/>
        <v>8.8000000000000007</v>
      </c>
      <c r="M108" s="24">
        <f t="shared" si="6"/>
        <v>26.400000000000002</v>
      </c>
    </row>
    <row r="109" spans="7:13">
      <c r="G109" s="55" t="s">
        <v>199</v>
      </c>
      <c r="H109" s="24">
        <f>9.25+1.5</f>
        <v>10.75</v>
      </c>
      <c r="I109" s="24">
        <v>3</v>
      </c>
      <c r="J109" s="24">
        <v>0</v>
      </c>
      <c r="K109" s="24">
        <v>0</v>
      </c>
      <c r="L109" s="24">
        <f t="shared" ref="L109:L117" si="7">H109</f>
        <v>10.75</v>
      </c>
      <c r="M109" s="24">
        <f t="shared" ref="M109:M117" si="8">I109*(J109+K109+L109)</f>
        <v>32.25</v>
      </c>
    </row>
    <row r="110" spans="7:13">
      <c r="G110" s="55" t="s">
        <v>200</v>
      </c>
      <c r="H110" s="24">
        <f>9.25+1.5</f>
        <v>10.75</v>
      </c>
      <c r="I110" s="24">
        <v>3</v>
      </c>
      <c r="J110" s="24">
        <v>0</v>
      </c>
      <c r="K110" s="24">
        <v>0</v>
      </c>
      <c r="L110" s="24">
        <f t="shared" si="7"/>
        <v>10.75</v>
      </c>
      <c r="M110" s="24">
        <f t="shared" si="8"/>
        <v>32.25</v>
      </c>
    </row>
    <row r="111" spans="7:13">
      <c r="G111" s="55" t="s">
        <v>201</v>
      </c>
      <c r="H111" s="24">
        <f>9.25+1</f>
        <v>10.25</v>
      </c>
      <c r="I111" s="24">
        <v>3</v>
      </c>
      <c r="J111" s="24">
        <v>0</v>
      </c>
      <c r="K111" s="24">
        <v>0</v>
      </c>
      <c r="L111" s="24">
        <f t="shared" si="7"/>
        <v>10.25</v>
      </c>
      <c r="M111" s="24">
        <f t="shared" si="8"/>
        <v>30.75</v>
      </c>
    </row>
    <row r="112" spans="7:13">
      <c r="G112" s="55" t="s">
        <v>202</v>
      </c>
      <c r="H112" s="24">
        <f>13.2+1.5</f>
        <v>14.7</v>
      </c>
      <c r="I112" s="24">
        <v>3</v>
      </c>
      <c r="J112" s="24">
        <v>0</v>
      </c>
      <c r="K112" s="24">
        <v>0</v>
      </c>
      <c r="L112" s="24">
        <f t="shared" si="7"/>
        <v>14.7</v>
      </c>
      <c r="M112" s="24">
        <f t="shared" si="8"/>
        <v>44.099999999999994</v>
      </c>
    </row>
    <row r="113" spans="7:14">
      <c r="G113" s="55" t="s">
        <v>203</v>
      </c>
      <c r="H113" s="24">
        <f>13.75+1.5</f>
        <v>15.25</v>
      </c>
      <c r="I113" s="24">
        <v>3</v>
      </c>
      <c r="J113" s="24">
        <v>0</v>
      </c>
      <c r="K113" s="24">
        <v>0</v>
      </c>
      <c r="L113" s="24">
        <f t="shared" si="7"/>
        <v>15.25</v>
      </c>
      <c r="M113" s="24">
        <f t="shared" si="8"/>
        <v>45.75</v>
      </c>
    </row>
    <row r="114" spans="7:14">
      <c r="G114" s="55" t="s">
        <v>204</v>
      </c>
      <c r="H114" s="24">
        <f>15.1+1</f>
        <v>16.100000000000001</v>
      </c>
      <c r="I114" s="24">
        <v>6</v>
      </c>
      <c r="J114" s="24">
        <v>0</v>
      </c>
      <c r="K114" s="24">
        <v>0</v>
      </c>
      <c r="L114" s="24">
        <f t="shared" si="7"/>
        <v>16.100000000000001</v>
      </c>
      <c r="M114" s="24">
        <f t="shared" si="8"/>
        <v>96.600000000000009</v>
      </c>
    </row>
    <row r="115" spans="7:14">
      <c r="G115" s="55" t="s">
        <v>205</v>
      </c>
      <c r="H115" s="24">
        <f>15.55+1</f>
        <v>16.55</v>
      </c>
      <c r="I115" s="24">
        <v>3</v>
      </c>
      <c r="J115" s="24">
        <v>0</v>
      </c>
      <c r="K115" s="24">
        <v>0</v>
      </c>
      <c r="L115" s="24">
        <f t="shared" si="7"/>
        <v>16.55</v>
      </c>
      <c r="M115" s="24">
        <f t="shared" si="8"/>
        <v>49.650000000000006</v>
      </c>
    </row>
    <row r="116" spans="7:14">
      <c r="G116" s="55" t="s">
        <v>206</v>
      </c>
      <c r="H116" s="24">
        <f>18+1.5</f>
        <v>19.5</v>
      </c>
      <c r="I116" s="24">
        <v>3</v>
      </c>
      <c r="J116" s="24">
        <v>0</v>
      </c>
      <c r="K116" s="24">
        <v>0</v>
      </c>
      <c r="L116" s="24">
        <f t="shared" si="7"/>
        <v>19.5</v>
      </c>
      <c r="M116" s="24">
        <f t="shared" si="8"/>
        <v>58.5</v>
      </c>
    </row>
    <row r="117" spans="7:14">
      <c r="G117" s="55" t="s">
        <v>207</v>
      </c>
      <c r="H117" s="24">
        <f>21+1.5</f>
        <v>22.5</v>
      </c>
      <c r="I117" s="24">
        <v>3</v>
      </c>
      <c r="J117" s="24">
        <v>0</v>
      </c>
      <c r="K117" s="24">
        <v>0</v>
      </c>
      <c r="L117" s="24">
        <f t="shared" si="7"/>
        <v>22.5</v>
      </c>
      <c r="M117" s="24">
        <f t="shared" si="8"/>
        <v>67.5</v>
      </c>
    </row>
    <row r="118" spans="7:14">
      <c r="G118" s="55" t="s">
        <v>128</v>
      </c>
      <c r="H118" s="24">
        <f>13.75</f>
        <v>13.75</v>
      </c>
      <c r="I118" s="24">
        <v>3</v>
      </c>
      <c r="J118" s="24">
        <v>0</v>
      </c>
      <c r="K118" s="24">
        <v>0</v>
      </c>
      <c r="L118" s="24">
        <f t="shared" ref="L118:L125" si="9">H118</f>
        <v>13.75</v>
      </c>
      <c r="M118" s="24">
        <f t="shared" ref="M118:M125" si="10">I118*(J118+K118+L118)</f>
        <v>41.25</v>
      </c>
    </row>
    <row r="119" spans="7:14">
      <c r="G119" s="55" t="s">
        <v>129</v>
      </c>
      <c r="H119" s="24">
        <f>14</f>
        <v>14</v>
      </c>
      <c r="I119" s="24">
        <v>3</v>
      </c>
      <c r="J119" s="24">
        <v>0</v>
      </c>
      <c r="K119" s="24">
        <v>0</v>
      </c>
      <c r="L119" s="24">
        <f t="shared" si="9"/>
        <v>14</v>
      </c>
      <c r="M119" s="24">
        <f t="shared" si="10"/>
        <v>42</v>
      </c>
    </row>
    <row r="120" spans="7:14">
      <c r="G120" s="55" t="s">
        <v>130</v>
      </c>
      <c r="H120" s="24">
        <f>17.6</f>
        <v>17.600000000000001</v>
      </c>
      <c r="I120" s="24">
        <v>3</v>
      </c>
      <c r="J120" s="24">
        <v>0</v>
      </c>
      <c r="K120" s="24">
        <v>0</v>
      </c>
      <c r="L120" s="24">
        <f t="shared" si="9"/>
        <v>17.600000000000001</v>
      </c>
      <c r="M120" s="24">
        <f t="shared" si="10"/>
        <v>52.800000000000004</v>
      </c>
    </row>
    <row r="121" spans="7:14">
      <c r="G121" s="55" t="s">
        <v>131</v>
      </c>
      <c r="H121" s="24">
        <f>6.2</f>
        <v>6.2</v>
      </c>
      <c r="I121" s="24">
        <v>3</v>
      </c>
      <c r="J121" s="24">
        <v>0</v>
      </c>
      <c r="K121" s="24">
        <v>0</v>
      </c>
      <c r="L121" s="24">
        <f t="shared" si="9"/>
        <v>6.2</v>
      </c>
      <c r="M121" s="24">
        <f t="shared" si="10"/>
        <v>18.600000000000001</v>
      </c>
    </row>
    <row r="122" spans="7:14">
      <c r="G122" s="55" t="s">
        <v>132</v>
      </c>
      <c r="H122" s="24">
        <f>17.5</f>
        <v>17.5</v>
      </c>
      <c r="I122" s="24">
        <v>3</v>
      </c>
      <c r="J122" s="24">
        <v>0</v>
      </c>
      <c r="K122" s="24">
        <v>0</v>
      </c>
      <c r="L122" s="24">
        <f t="shared" si="9"/>
        <v>17.5</v>
      </c>
      <c r="M122" s="24">
        <f t="shared" si="10"/>
        <v>52.5</v>
      </c>
    </row>
    <row r="123" spans="7:14">
      <c r="G123" s="55" t="s">
        <v>133</v>
      </c>
      <c r="H123" s="24">
        <f>5.4</f>
        <v>5.4</v>
      </c>
      <c r="I123" s="24">
        <v>3</v>
      </c>
      <c r="J123" s="24">
        <v>0</v>
      </c>
      <c r="K123" s="24">
        <v>0</v>
      </c>
      <c r="L123" s="24">
        <f t="shared" si="9"/>
        <v>5.4</v>
      </c>
      <c r="M123" s="24">
        <f t="shared" si="10"/>
        <v>16.200000000000003</v>
      </c>
    </row>
    <row r="124" spans="7:14">
      <c r="G124" s="55" t="s">
        <v>134</v>
      </c>
      <c r="H124" s="24">
        <f>10.45</f>
        <v>10.45</v>
      </c>
      <c r="I124" s="24">
        <v>3</v>
      </c>
      <c r="J124" s="24">
        <v>0</v>
      </c>
      <c r="K124" s="24">
        <v>0</v>
      </c>
      <c r="L124" s="24">
        <f t="shared" si="9"/>
        <v>10.45</v>
      </c>
      <c r="M124" s="24">
        <f t="shared" si="10"/>
        <v>31.349999999999998</v>
      </c>
    </row>
    <row r="125" spans="7:14">
      <c r="G125" s="55" t="s">
        <v>135</v>
      </c>
      <c r="H125" s="24">
        <f>16.5</f>
        <v>16.5</v>
      </c>
      <c r="I125" s="24">
        <v>3</v>
      </c>
      <c r="J125" s="24">
        <v>0</v>
      </c>
      <c r="K125" s="24">
        <v>0</v>
      </c>
      <c r="L125" s="24">
        <f t="shared" si="9"/>
        <v>16.5</v>
      </c>
      <c r="M125" s="24">
        <f t="shared" si="10"/>
        <v>49.5</v>
      </c>
    </row>
    <row r="126" spans="7:14">
      <c r="J126" s="43">
        <f>SUM(J51:J125)</f>
        <v>0</v>
      </c>
      <c r="K126" s="43">
        <f>ROUNDUP(SUM(K51:K125),0)</f>
        <v>0</v>
      </c>
      <c r="L126" s="43">
        <f>ROUNDUP(SUM(L51:L125)*0.6,0)</f>
        <v>629</v>
      </c>
      <c r="M126" s="43">
        <f>ROUNDUP(SUM(M51:M125)*0.6,0)</f>
        <v>1983</v>
      </c>
      <c r="N126" s="1">
        <f>$M$126/($L$126+$J$126+$K$126)</f>
        <v>3.1526232114467407</v>
      </c>
    </row>
    <row r="127" spans="7:14">
      <c r="M127" s="38"/>
    </row>
    <row r="150" spans="7:7">
      <c r="G150" s="38"/>
    </row>
  </sheetData>
  <mergeCells count="9">
    <mergeCell ref="O2:P2"/>
    <mergeCell ref="G49:M49"/>
    <mergeCell ref="G2:G3"/>
    <mergeCell ref="M2:M3"/>
    <mergeCell ref="K2:L2"/>
    <mergeCell ref="K19:L19"/>
    <mergeCell ref="H2:J2"/>
    <mergeCell ref="H19:J19"/>
    <mergeCell ref="G21:M2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C10" sqref="C10"/>
    </sheetView>
  </sheetViews>
  <sheetFormatPr defaultRowHeight="12"/>
  <cols>
    <col min="1" max="1" width="9.140625" style="1"/>
    <col min="2" max="2" width="85.5703125" style="1" bestFit="1" customWidth="1"/>
    <col min="3" max="3" width="18.85546875" style="1" customWidth="1"/>
    <col min="4" max="4" width="26.85546875" style="1" bestFit="1" customWidth="1"/>
    <col min="5" max="16384" width="9.140625" style="1"/>
  </cols>
  <sheetData>
    <row r="2" spans="2:4">
      <c r="B2" s="22" t="s">
        <v>32</v>
      </c>
      <c r="C2" s="22" t="s">
        <v>31</v>
      </c>
      <c r="D2" s="63" t="s">
        <v>208</v>
      </c>
    </row>
    <row r="3" spans="2:4">
      <c r="B3" s="22" t="s">
        <v>155</v>
      </c>
      <c r="C3" s="24">
        <f>(22.48+24.12)*2.7</f>
        <v>125.82000000000001</v>
      </c>
      <c r="D3" s="65">
        <v>0</v>
      </c>
    </row>
    <row r="4" spans="2:4">
      <c r="B4" s="52" t="s">
        <v>165</v>
      </c>
      <c r="C4" s="24">
        <f>(20.2-2-0.9)*0.4</f>
        <v>6.9200000000000008</v>
      </c>
      <c r="D4" s="65">
        <v>0</v>
      </c>
    </row>
    <row r="5" spans="2:4" ht="12.75">
      <c r="B5" s="22" t="s">
        <v>156</v>
      </c>
      <c r="C5" s="18">
        <f>2.5*2.5</f>
        <v>6.25</v>
      </c>
      <c r="D5" s="65">
        <f>2.5*0.15*0.2</f>
        <v>7.5000000000000011E-2</v>
      </c>
    </row>
    <row r="6" spans="2:4" ht="12.75">
      <c r="B6" s="19" t="s">
        <v>157</v>
      </c>
      <c r="C6" s="18">
        <f>0.85*2.5</f>
        <v>2.125</v>
      </c>
      <c r="D6" s="65">
        <f>0.85*0.15*0.2</f>
        <v>2.5500000000000002E-2</v>
      </c>
    </row>
    <row r="7" spans="2:4" ht="12.75">
      <c r="B7" s="19" t="s">
        <v>158</v>
      </c>
      <c r="C7" s="18">
        <f>0.75*2.8</f>
        <v>2.0999999999999996</v>
      </c>
      <c r="D7" s="65">
        <f>0.75*0.15*0.2</f>
        <v>2.2499999999999999E-2</v>
      </c>
    </row>
    <row r="8" spans="2:4" ht="12.75">
      <c r="B8" s="19" t="s">
        <v>159</v>
      </c>
      <c r="C8" s="18">
        <f>0.35*2.8</f>
        <v>0.97999999999999987</v>
      </c>
      <c r="D8" s="65">
        <v>0</v>
      </c>
    </row>
    <row r="9" spans="2:4" ht="12.75">
      <c r="B9" s="19" t="s">
        <v>209</v>
      </c>
      <c r="C9" s="18">
        <f>0.45*2.8</f>
        <v>1.26</v>
      </c>
      <c r="D9" s="65">
        <v>0</v>
      </c>
    </row>
    <row r="10" spans="2:4" ht="12.75">
      <c r="B10" s="19" t="s">
        <v>161</v>
      </c>
      <c r="C10" s="19">
        <f>0.85*2.8</f>
        <v>2.38</v>
      </c>
      <c r="D10" s="65">
        <f>0.85*0.15*0.2</f>
        <v>2.5500000000000002E-2</v>
      </c>
    </row>
    <row r="11" spans="2:4" ht="12.75">
      <c r="B11" s="19" t="s">
        <v>160</v>
      </c>
      <c r="C11" s="19">
        <f>0.85*2.8</f>
        <v>2.38</v>
      </c>
      <c r="D11" s="65">
        <f>0.85*0.15*0.2</f>
        <v>2.5500000000000002E-2</v>
      </c>
    </row>
    <row r="12" spans="2:4" ht="12.75">
      <c r="B12" s="19" t="s">
        <v>162</v>
      </c>
      <c r="C12" s="19">
        <f>2.75*2.8-0.4*0.4</f>
        <v>7.5399999999999991</v>
      </c>
      <c r="D12" s="65">
        <f>3.65*0.15*0.2</f>
        <v>0.1095</v>
      </c>
    </row>
    <row r="13" spans="2:4" ht="12.75">
      <c r="B13" s="19" t="s">
        <v>163</v>
      </c>
      <c r="C13" s="24">
        <f>0.6*2.8</f>
        <v>1.68</v>
      </c>
      <c r="D13" s="65">
        <f>0.6*0.15*0.2</f>
        <v>1.7999999999999999E-2</v>
      </c>
    </row>
    <row r="14" spans="2:4">
      <c r="B14" s="22" t="s">
        <v>164</v>
      </c>
      <c r="C14" s="24">
        <f>2.7*2.8-1.5*1.1</f>
        <v>5.9099999999999993</v>
      </c>
      <c r="D14" s="65">
        <f>2.7*0.15*0.2</f>
        <v>8.1000000000000016E-2</v>
      </c>
    </row>
    <row r="15" spans="2:4">
      <c r="B15" s="25" t="s">
        <v>30</v>
      </c>
      <c r="C15" s="21">
        <f>ROUNDUP(SUM(C3:C14),2)</f>
        <v>165.35</v>
      </c>
      <c r="D15" s="56">
        <f>ROUNDUP(SUM(D3:D14),2)</f>
        <v>0.39</v>
      </c>
    </row>
    <row r="17" spans="3:3">
      <c r="C17" s="38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F9" sqref="F9"/>
    </sheetView>
  </sheetViews>
  <sheetFormatPr defaultRowHeight="12"/>
  <cols>
    <col min="1" max="1" width="9.140625" style="11"/>
    <col min="2" max="2" width="32.7109375" style="11" bestFit="1" customWidth="1"/>
    <col min="3" max="3" width="15.140625" style="11" bestFit="1" customWidth="1"/>
    <col min="4" max="4" width="12.85546875" style="11" bestFit="1" customWidth="1"/>
    <col min="5" max="5" width="11.7109375" style="11" bestFit="1" customWidth="1"/>
    <col min="6" max="6" width="10.7109375" style="11" bestFit="1" customWidth="1"/>
    <col min="7" max="16384" width="9.140625" style="11"/>
  </cols>
  <sheetData>
    <row r="2" spans="2:7">
      <c r="B2" s="20" t="s">
        <v>26</v>
      </c>
      <c r="C2" s="15" t="s">
        <v>19</v>
      </c>
      <c r="D2" s="15" t="s">
        <v>17</v>
      </c>
      <c r="E2" s="15" t="s">
        <v>20</v>
      </c>
      <c r="F2" s="15" t="s">
        <v>18</v>
      </c>
    </row>
    <row r="3" spans="2:7">
      <c r="B3" s="51" t="s">
        <v>147</v>
      </c>
      <c r="C3" s="16">
        <v>1.2</v>
      </c>
      <c r="D3" s="16">
        <v>0.15</v>
      </c>
      <c r="E3" s="16">
        <v>3</v>
      </c>
      <c r="F3" s="16">
        <f>C3*D3*E3</f>
        <v>0.54</v>
      </c>
      <c r="G3" s="1"/>
    </row>
    <row r="4" spans="2:7">
      <c r="B4" s="51" t="s">
        <v>148</v>
      </c>
      <c r="C4" s="16">
        <v>1.1000000000000001</v>
      </c>
      <c r="D4" s="16">
        <v>0.15</v>
      </c>
      <c r="E4" s="16">
        <v>3</v>
      </c>
      <c r="F4" s="16">
        <f t="shared" ref="F4:F7" si="0">C4*D4*E4</f>
        <v>0.495</v>
      </c>
      <c r="G4" s="1"/>
    </row>
    <row r="5" spans="2:7">
      <c r="B5" s="51" t="s">
        <v>149</v>
      </c>
      <c r="C5" s="16">
        <v>0.8</v>
      </c>
      <c r="D5" s="16">
        <v>0.15</v>
      </c>
      <c r="E5" s="16">
        <v>3</v>
      </c>
      <c r="F5" s="16">
        <f t="shared" si="0"/>
        <v>0.36</v>
      </c>
      <c r="G5" s="1"/>
    </row>
    <row r="6" spans="2:7">
      <c r="B6" s="51" t="s">
        <v>150</v>
      </c>
      <c r="C6" s="16">
        <v>1.7</v>
      </c>
      <c r="D6" s="16">
        <v>0.15</v>
      </c>
      <c r="E6" s="16">
        <v>3</v>
      </c>
      <c r="F6" s="16">
        <f t="shared" si="0"/>
        <v>0.76500000000000001</v>
      </c>
      <c r="G6" s="1"/>
    </row>
    <row r="7" spans="2:7">
      <c r="B7" s="51" t="s">
        <v>151</v>
      </c>
      <c r="C7" s="16">
        <v>1.25</v>
      </c>
      <c r="D7" s="16">
        <v>0.15</v>
      </c>
      <c r="E7" s="16">
        <v>3</v>
      </c>
      <c r="F7" s="16">
        <f t="shared" si="0"/>
        <v>0.5625</v>
      </c>
      <c r="G7" s="1"/>
    </row>
    <row r="8" spans="2:7">
      <c r="B8" s="51" t="s">
        <v>152</v>
      </c>
      <c r="C8" s="16">
        <v>2.4</v>
      </c>
      <c r="D8" s="16">
        <v>0.15</v>
      </c>
      <c r="E8" s="16">
        <v>3</v>
      </c>
      <c r="F8" s="16">
        <f t="shared" ref="F8" si="1">C8*D8*E8</f>
        <v>1.08</v>
      </c>
      <c r="G8" s="1"/>
    </row>
    <row r="9" spans="2:7">
      <c r="B9" s="146" t="s">
        <v>21</v>
      </c>
      <c r="C9" s="147"/>
      <c r="D9" s="147"/>
      <c r="E9" s="148"/>
      <c r="F9" s="17">
        <f>SUM(F3:F8)</f>
        <v>3.8025000000000002</v>
      </c>
    </row>
    <row r="10" spans="2:7">
      <c r="C10" s="14"/>
      <c r="D10" s="14"/>
      <c r="E10" s="14"/>
      <c r="F10" s="14"/>
    </row>
    <row r="11" spans="2:7">
      <c r="C11" s="14"/>
      <c r="D11" s="14"/>
      <c r="E11" s="57"/>
      <c r="F11" s="14"/>
    </row>
    <row r="12" spans="2:7">
      <c r="C12" s="14"/>
      <c r="D12" s="14"/>
      <c r="E12" s="14"/>
      <c r="F12" s="14"/>
    </row>
    <row r="13" spans="2:7">
      <c r="C13" s="14"/>
      <c r="D13" s="14"/>
      <c r="E13" s="14"/>
      <c r="F13" s="14"/>
    </row>
    <row r="14" spans="2:7">
      <c r="C14" s="14"/>
      <c r="D14" s="14"/>
      <c r="E14" s="14"/>
      <c r="F14" s="14"/>
    </row>
    <row r="15" spans="2:7">
      <c r="C15" s="14"/>
      <c r="D15" s="14"/>
      <c r="E15" s="14"/>
      <c r="F15" s="14"/>
    </row>
    <row r="16" spans="2:7">
      <c r="C16" s="14"/>
      <c r="D16" s="14"/>
      <c r="E16" s="14"/>
      <c r="F16" s="14"/>
    </row>
    <row r="17" spans="3:6">
      <c r="C17" s="14"/>
      <c r="D17" s="14"/>
      <c r="E17" s="14"/>
      <c r="F17" s="14"/>
    </row>
    <row r="18" spans="3:6">
      <c r="C18" s="14"/>
      <c r="D18" s="14"/>
      <c r="E18" s="14"/>
      <c r="F18" s="14"/>
    </row>
    <row r="19" spans="3:6">
      <c r="C19" s="14"/>
      <c r="D19" s="14"/>
      <c r="E19" s="14"/>
      <c r="F19" s="14"/>
    </row>
    <row r="20" spans="3:6">
      <c r="C20" s="14"/>
      <c r="D20" s="14"/>
      <c r="E20" s="14"/>
      <c r="F20" s="14"/>
    </row>
  </sheetData>
  <mergeCells count="1">
    <mergeCell ref="B9:E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43"/>
  <sheetViews>
    <sheetView topLeftCell="B1" workbookViewId="0">
      <selection activeCell="G8" sqref="G8"/>
    </sheetView>
  </sheetViews>
  <sheetFormatPr defaultRowHeight="12"/>
  <cols>
    <col min="1" max="1" width="9.140625" style="1"/>
    <col min="2" max="2" width="49.85546875" style="1" bestFit="1" customWidth="1"/>
    <col min="3" max="3" width="32.140625" style="1" bestFit="1" customWidth="1"/>
    <col min="4" max="5" width="23.7109375" style="1" bestFit="1" customWidth="1"/>
    <col min="6" max="6" width="23.7109375" style="1" customWidth="1"/>
    <col min="7" max="7" width="15.85546875" style="1" bestFit="1" customWidth="1"/>
    <col min="8" max="8" width="9.85546875" style="1" customWidth="1"/>
    <col min="9" max="16384" width="9.140625" style="1"/>
  </cols>
  <sheetData>
    <row r="4" spans="2:8">
      <c r="B4" s="111" t="s">
        <v>27</v>
      </c>
      <c r="C4" s="112"/>
      <c r="D4" s="113"/>
      <c r="E4" s="28" t="s">
        <v>35</v>
      </c>
      <c r="F4" s="29"/>
    </row>
    <row r="5" spans="2:8">
      <c r="B5" s="22" t="s">
        <v>166</v>
      </c>
      <c r="C5" s="24">
        <f>42.73*2.8-8*0.9*2.1-2*2.1-1.5*1.1+31.92</f>
        <v>130.59399999999997</v>
      </c>
      <c r="D5" s="22" t="s">
        <v>33</v>
      </c>
      <c r="E5" s="24">
        <f>C5</f>
        <v>130.59399999999997</v>
      </c>
      <c r="G5" s="22" t="s">
        <v>174</v>
      </c>
      <c r="H5" s="24">
        <f>SUM(E5:E17)</f>
        <v>415.06</v>
      </c>
    </row>
    <row r="6" spans="2:8">
      <c r="B6" s="22" t="s">
        <v>137</v>
      </c>
      <c r="C6" s="24">
        <f>18.54*2.8-0.9*2.1-1.5*1.1+21.48</f>
        <v>69.85199999999999</v>
      </c>
      <c r="D6" s="22" t="s">
        <v>33</v>
      </c>
      <c r="E6" s="24">
        <f t="shared" ref="E6:E17" si="0">C6</f>
        <v>69.85199999999999</v>
      </c>
      <c r="G6" s="55" t="s">
        <v>175</v>
      </c>
      <c r="H6" s="24">
        <f>SUM(E21:E23)</f>
        <v>206.17000000000002</v>
      </c>
    </row>
    <row r="7" spans="2:8">
      <c r="B7" s="22" t="s">
        <v>136</v>
      </c>
      <c r="C7" s="24">
        <f>21.14*2.8-0.9*2.1-1.5*1.1+27.41</f>
        <v>83.061999999999998</v>
      </c>
      <c r="D7" s="22" t="s">
        <v>33</v>
      </c>
      <c r="E7" s="24">
        <f t="shared" si="0"/>
        <v>83.061999999999998</v>
      </c>
      <c r="G7" s="22" t="s">
        <v>33</v>
      </c>
      <c r="H7" s="24">
        <f>SUM(C5:C17)+SUM(C21:C23)</f>
        <v>872.87</v>
      </c>
    </row>
    <row r="8" spans="2:8">
      <c r="B8" s="22" t="s">
        <v>139</v>
      </c>
      <c r="C8" s="24">
        <f>18.84*2.8-2*1.5*1.1-0.9*2.1+22.09</f>
        <v>69.652000000000001</v>
      </c>
      <c r="D8" s="22" t="s">
        <v>33</v>
      </c>
      <c r="E8" s="24">
        <f t="shared" si="0"/>
        <v>69.652000000000001</v>
      </c>
    </row>
    <row r="9" spans="2:8">
      <c r="B9" s="52" t="s">
        <v>55</v>
      </c>
      <c r="C9" s="24">
        <v>4.33</v>
      </c>
      <c r="D9" s="52" t="s">
        <v>33</v>
      </c>
      <c r="E9" s="24">
        <f t="shared" si="0"/>
        <v>4.33</v>
      </c>
    </row>
    <row r="10" spans="2:8">
      <c r="B10" s="52" t="s">
        <v>56</v>
      </c>
      <c r="C10" s="24">
        <v>3.45</v>
      </c>
      <c r="D10" s="52" t="s">
        <v>33</v>
      </c>
      <c r="E10" s="24">
        <f t="shared" si="0"/>
        <v>3.45</v>
      </c>
    </row>
    <row r="11" spans="2:8">
      <c r="B11" s="52" t="s">
        <v>167</v>
      </c>
      <c r="C11" s="24">
        <v>8.85</v>
      </c>
      <c r="D11" s="52" t="s">
        <v>33</v>
      </c>
      <c r="E11" s="24">
        <f t="shared" si="0"/>
        <v>8.85</v>
      </c>
    </row>
    <row r="12" spans="2:8">
      <c r="B12" s="52" t="s">
        <v>168</v>
      </c>
      <c r="C12" s="24">
        <v>4.45</v>
      </c>
      <c r="D12" s="52" t="s">
        <v>33</v>
      </c>
      <c r="E12" s="24">
        <f t="shared" si="0"/>
        <v>4.45</v>
      </c>
    </row>
    <row r="13" spans="2:8">
      <c r="B13" s="52" t="s">
        <v>142</v>
      </c>
      <c r="C13" s="24">
        <v>9.6300000000000008</v>
      </c>
      <c r="D13" s="52" t="s">
        <v>33</v>
      </c>
      <c r="E13" s="24">
        <f t="shared" si="0"/>
        <v>9.6300000000000008</v>
      </c>
    </row>
    <row r="14" spans="2:8">
      <c r="B14" s="52" t="s">
        <v>169</v>
      </c>
      <c r="C14" s="24">
        <v>5.22</v>
      </c>
      <c r="D14" s="52" t="s">
        <v>33</v>
      </c>
      <c r="E14" s="24">
        <f t="shared" si="0"/>
        <v>5.22</v>
      </c>
    </row>
    <row r="15" spans="2:8">
      <c r="B15" s="52" t="s">
        <v>170</v>
      </c>
      <c r="C15" s="24">
        <v>14.13</v>
      </c>
      <c r="D15" s="52" t="s">
        <v>33</v>
      </c>
      <c r="E15" s="24">
        <f t="shared" si="0"/>
        <v>14.13</v>
      </c>
    </row>
    <row r="16" spans="2:8">
      <c r="B16" s="52" t="s">
        <v>145</v>
      </c>
      <c r="C16" s="24">
        <v>6.79</v>
      </c>
      <c r="D16" s="52" t="s">
        <v>33</v>
      </c>
      <c r="E16" s="24">
        <f t="shared" si="0"/>
        <v>6.79</v>
      </c>
    </row>
    <row r="17" spans="2:5">
      <c r="B17" s="52" t="s">
        <v>146</v>
      </c>
      <c r="C17" s="24">
        <v>5.05</v>
      </c>
      <c r="D17" s="52" t="s">
        <v>33</v>
      </c>
      <c r="E17" s="24">
        <f t="shared" si="0"/>
        <v>5.05</v>
      </c>
    </row>
    <row r="18" spans="2:5">
      <c r="B18" s="30"/>
      <c r="C18" s="31"/>
      <c r="D18" s="30"/>
      <c r="E18" s="31"/>
    </row>
    <row r="20" spans="2:5">
      <c r="B20" s="111" t="s">
        <v>34</v>
      </c>
      <c r="C20" s="112"/>
      <c r="D20" s="113"/>
      <c r="E20" s="53" t="s">
        <v>35</v>
      </c>
    </row>
    <row r="21" spans="2:5">
      <c r="B21" s="22" t="s">
        <v>171</v>
      </c>
      <c r="C21" s="24">
        <f>64*3.5-((10*1.5*1.1+2*0.7*0.6+2*0.65*0.6+1*1.2*0.6)+(1*2*2.1+2*0.9*2.1))-(2.95*3)+(4*0.25*4)</f>
        <v>192.33</v>
      </c>
      <c r="D21" s="22" t="s">
        <v>33</v>
      </c>
      <c r="E21" s="24">
        <f>C21</f>
        <v>192.33</v>
      </c>
    </row>
    <row r="22" spans="2:5">
      <c r="B22" s="22" t="s">
        <v>172</v>
      </c>
      <c r="C22" s="24">
        <f>(22.48+24.12)*2.7*2</f>
        <v>251.64000000000001</v>
      </c>
      <c r="D22" s="22" t="s">
        <v>33</v>
      </c>
      <c r="E22" s="24">
        <v>0</v>
      </c>
    </row>
    <row r="23" spans="2:5">
      <c r="B23" s="22" t="s">
        <v>173</v>
      </c>
      <c r="C23" s="24">
        <f>(20.2-2-0.9)*0.4*2</f>
        <v>13.840000000000002</v>
      </c>
      <c r="D23" s="22" t="s">
        <v>33</v>
      </c>
      <c r="E23" s="24">
        <f t="shared" ref="E23" si="1">C23</f>
        <v>13.840000000000002</v>
      </c>
    </row>
    <row r="26" spans="2:5">
      <c r="B26" s="119" t="s">
        <v>29</v>
      </c>
      <c r="C26" s="119"/>
      <c r="D26" s="29"/>
    </row>
    <row r="27" spans="2:5">
      <c r="B27" s="22" t="s">
        <v>177</v>
      </c>
      <c r="C27" s="55" t="s">
        <v>176</v>
      </c>
      <c r="D27" s="30"/>
    </row>
    <row r="28" spans="2:5">
      <c r="B28" s="58">
        <v>1</v>
      </c>
      <c r="C28" s="23">
        <v>15.2</v>
      </c>
      <c r="D28" s="31"/>
    </row>
    <row r="29" spans="2:5">
      <c r="B29" s="59">
        <v>2</v>
      </c>
      <c r="C29" s="23">
        <v>15.2</v>
      </c>
      <c r="D29" s="31"/>
    </row>
    <row r="30" spans="2:5">
      <c r="B30" s="59">
        <v>3</v>
      </c>
      <c r="C30" s="23">
        <v>15.2</v>
      </c>
      <c r="D30" s="31"/>
    </row>
    <row r="31" spans="2:5">
      <c r="B31" s="58">
        <v>4</v>
      </c>
      <c r="C31" s="23">
        <v>15.2</v>
      </c>
      <c r="D31" s="31"/>
    </row>
    <row r="32" spans="2:5">
      <c r="B32" s="59">
        <v>5</v>
      </c>
      <c r="C32" s="23">
        <v>11.9</v>
      </c>
      <c r="D32" s="31"/>
    </row>
    <row r="33" spans="2:4">
      <c r="B33" s="59">
        <v>6</v>
      </c>
      <c r="C33" s="23">
        <v>10.199999999999999</v>
      </c>
      <c r="D33" s="31"/>
    </row>
    <row r="34" spans="2:4">
      <c r="B34" s="58">
        <v>7</v>
      </c>
      <c r="C34" s="23">
        <v>10.199999999999999</v>
      </c>
      <c r="D34" s="31"/>
    </row>
    <row r="35" spans="2:4">
      <c r="B35" s="59">
        <v>8</v>
      </c>
      <c r="C35" s="23">
        <v>17.7</v>
      </c>
      <c r="D35" s="31"/>
    </row>
    <row r="36" spans="2:4">
      <c r="B36" s="58">
        <v>9</v>
      </c>
      <c r="C36" s="23">
        <v>17.7</v>
      </c>
      <c r="D36" s="31"/>
    </row>
    <row r="37" spans="2:4">
      <c r="B37" s="59">
        <v>10</v>
      </c>
      <c r="C37" s="23">
        <v>17.7</v>
      </c>
      <c r="D37" s="31"/>
    </row>
    <row r="38" spans="2:4">
      <c r="B38" s="59">
        <v>11</v>
      </c>
      <c r="C38" s="23">
        <v>17.7</v>
      </c>
      <c r="D38" s="31"/>
    </row>
    <row r="39" spans="2:4">
      <c r="B39" s="58">
        <v>12</v>
      </c>
      <c r="C39" s="23">
        <v>13.15</v>
      </c>
      <c r="D39" s="31"/>
    </row>
    <row r="40" spans="2:4">
      <c r="B40" s="59">
        <v>13</v>
      </c>
      <c r="C40" s="23">
        <v>9.1999999999999993</v>
      </c>
      <c r="D40" s="31"/>
    </row>
    <row r="41" spans="2:4">
      <c r="B41" s="59">
        <v>14</v>
      </c>
      <c r="C41" s="23">
        <v>60</v>
      </c>
      <c r="D41" s="31"/>
    </row>
    <row r="42" spans="2:4">
      <c r="B42" s="53" t="s">
        <v>28</v>
      </c>
      <c r="C42" s="56">
        <f>SUM(C28:C41)</f>
        <v>246.24999999999997</v>
      </c>
      <c r="D42" s="32"/>
    </row>
    <row r="43" spans="2:4">
      <c r="C43" s="53">
        <f>ROUNDUP(C42*0.366,2)</f>
        <v>90.13000000000001</v>
      </c>
    </row>
  </sheetData>
  <mergeCells count="3">
    <mergeCell ref="B26:C26"/>
    <mergeCell ref="B4:D4"/>
    <mergeCell ref="B20:D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PLANILHA ORÇAMENTÁRIA</vt:lpstr>
      <vt:lpstr>CRONOGRAMA FÍSICO-FINANCEIRO</vt:lpstr>
      <vt:lpstr>COMPOSIÇÃO DO BDI</vt:lpstr>
      <vt:lpstr>INSTALAÇÕES ELÉTRICAS</vt:lpstr>
      <vt:lpstr>ALVENARIA</vt:lpstr>
      <vt:lpstr>DEMOLIÇÃO DE ALVENARIA</vt:lpstr>
      <vt:lpstr>REVESTIMENTOS E PINTURA</vt:lpstr>
      <vt:lpstr>'CRONOGRAMA FÍSICO-FINANCEIRO'!Area_de_impressao</vt:lpstr>
      <vt:lpstr>'PLANILHA ORÇAMENTÁRIA'!Area_de_impressao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</dc:creator>
  <cp:lastModifiedBy>Licitacao02</cp:lastModifiedBy>
  <cp:lastPrinted>2023-06-01T18:20:50Z</cp:lastPrinted>
  <dcterms:created xsi:type="dcterms:W3CDTF">2021-04-12T11:05:00Z</dcterms:created>
  <dcterms:modified xsi:type="dcterms:W3CDTF">2023-11-23T17:09:51Z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1046-11.2.0.10114</vt:lpwstr>
  </property>
</Properties>
</file>