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TODOS OS CONVENIOS\2. EM ANDAMENTO\REFORMA - QUADRA CANAÃ 2022\licitação\"/>
    </mc:Choice>
  </mc:AlternateContent>
  <bookViews>
    <workbookView xWindow="0" yWindow="0" windowWidth="28800" windowHeight="12210"/>
  </bookViews>
  <sheets>
    <sheet name="Planilha" sheetId="1" r:id="rId1"/>
    <sheet name="CRONOGRAMA" sheetId="3" r:id="rId2"/>
    <sheet name="MEMÓRIA DE CÁLCULO" sheetId="2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1" i="1" l="1"/>
  <c r="I68" i="1"/>
  <c r="I64" i="1"/>
  <c r="F33" i="1" l="1"/>
  <c r="I33" i="1" l="1"/>
  <c r="J33" i="1"/>
  <c r="K33" i="1" s="1"/>
  <c r="F69" i="1" l="1"/>
  <c r="F85" i="1"/>
  <c r="F84" i="1"/>
  <c r="I84" i="1"/>
  <c r="J84" i="1" l="1"/>
  <c r="K84" i="1" s="1"/>
  <c r="A39" i="3"/>
  <c r="I109" i="1" l="1"/>
  <c r="J109" i="1" s="1"/>
  <c r="K109" i="1" s="1"/>
  <c r="F108" i="1"/>
  <c r="I108" i="1"/>
  <c r="J108" i="1" l="1"/>
  <c r="K108" i="1" s="1"/>
  <c r="F58" i="1"/>
  <c r="F57" i="1"/>
  <c r="F55" i="1"/>
  <c r="F48" i="1"/>
  <c r="F45" i="1"/>
  <c r="F22" i="1"/>
  <c r="I63" i="1"/>
  <c r="J63" i="1" s="1"/>
  <c r="K63" i="1" s="1"/>
  <c r="I52" i="1"/>
  <c r="F110" i="1"/>
  <c r="F70" i="1"/>
  <c r="L18" i="2"/>
  <c r="I30" i="2"/>
  <c r="I71" i="1"/>
  <c r="J71" i="1" s="1"/>
  <c r="K71" i="1" s="1"/>
  <c r="I95" i="1"/>
  <c r="I24" i="1" l="1"/>
  <c r="F101" i="1" l="1"/>
  <c r="I107" i="1"/>
  <c r="I101" i="1"/>
  <c r="B17" i="2"/>
  <c r="B16" i="2"/>
  <c r="I58" i="1"/>
  <c r="I62" i="1"/>
  <c r="J62" i="1" s="1"/>
  <c r="K62" i="1" s="1"/>
  <c r="I61" i="1"/>
  <c r="J61" i="1" s="1"/>
  <c r="K61" i="1" s="1"/>
  <c r="J101" i="1" l="1"/>
  <c r="K101" i="1" s="1"/>
  <c r="J58" i="1"/>
  <c r="K58" i="1" s="1"/>
  <c r="B30" i="3"/>
  <c r="A30" i="3"/>
  <c r="A28" i="3"/>
  <c r="A26" i="3"/>
  <c r="A24" i="3"/>
  <c r="A22" i="3"/>
  <c r="A20" i="3"/>
  <c r="A18" i="3"/>
  <c r="A16" i="3"/>
  <c r="A14" i="3"/>
  <c r="F104" i="1" l="1"/>
  <c r="F102" i="1"/>
  <c r="I106" i="1"/>
  <c r="I105" i="1"/>
  <c r="I104" i="1"/>
  <c r="I103" i="1"/>
  <c r="J103" i="1" s="1"/>
  <c r="I102" i="1"/>
  <c r="I100" i="1"/>
  <c r="J100" i="1" s="1"/>
  <c r="I110" i="1"/>
  <c r="J110" i="1" s="1"/>
  <c r="I99" i="1"/>
  <c r="J99" i="1" s="1"/>
  <c r="K99" i="1" s="1"/>
  <c r="F91" i="1"/>
  <c r="F83" i="1"/>
  <c r="F78" i="1"/>
  <c r="F77" i="1"/>
  <c r="F76" i="1"/>
  <c r="I75" i="1"/>
  <c r="J75" i="1" s="1"/>
  <c r="K75" i="1" s="1"/>
  <c r="I76" i="1"/>
  <c r="Q8" i="2"/>
  <c r="Q9" i="2" s="1"/>
  <c r="M7" i="2"/>
  <c r="M8" i="2" s="1"/>
  <c r="K8" i="2"/>
  <c r="K7" i="2"/>
  <c r="K9" i="2" s="1"/>
  <c r="I83" i="1"/>
  <c r="F90" i="1"/>
  <c r="I91" i="1"/>
  <c r="I90" i="1"/>
  <c r="I92" i="1"/>
  <c r="F88" i="1"/>
  <c r="F29" i="1"/>
  <c r="I34" i="1"/>
  <c r="F28" i="1"/>
  <c r="F32" i="1" s="1"/>
  <c r="I97" i="1"/>
  <c r="F95" i="1" l="1"/>
  <c r="J95" i="1" s="1"/>
  <c r="K95" i="1" s="1"/>
  <c r="J104" i="1"/>
  <c r="K104" i="1" s="1"/>
  <c r="F105" i="1"/>
  <c r="J105" i="1" s="1"/>
  <c r="F107" i="1"/>
  <c r="J107" i="1" s="1"/>
  <c r="J102" i="1"/>
  <c r="K102" i="1" s="1"/>
  <c r="K110" i="1"/>
  <c r="J97" i="1"/>
  <c r="K97" i="1" s="1"/>
  <c r="K105" i="1"/>
  <c r="K103" i="1"/>
  <c r="K100" i="1"/>
  <c r="J91" i="1"/>
  <c r="K91" i="1" s="1"/>
  <c r="J92" i="1"/>
  <c r="K92" i="1" s="1"/>
  <c r="J76" i="1"/>
  <c r="K76" i="1" s="1"/>
  <c r="J83" i="1"/>
  <c r="K83" i="1" s="1"/>
  <c r="J90" i="1"/>
  <c r="K90" i="1" s="1"/>
  <c r="J34" i="1"/>
  <c r="K34" i="1" s="1"/>
  <c r="F106" i="1" l="1"/>
  <c r="J106" i="1" s="1"/>
  <c r="K106" i="1" s="1"/>
  <c r="K107" i="1"/>
  <c r="F23" i="1"/>
  <c r="F24" i="1" s="1"/>
  <c r="I23" i="1"/>
  <c r="J23" i="1" l="1"/>
  <c r="K23" i="1" s="1"/>
  <c r="I59" i="1"/>
  <c r="J59" i="1" s="1"/>
  <c r="K59" i="1" s="1"/>
  <c r="F80" i="1"/>
  <c r="F79" i="1"/>
  <c r="I46" i="1"/>
  <c r="J46" i="1" s="1"/>
  <c r="K46" i="1" s="1"/>
  <c r="I32" i="1"/>
  <c r="I29" i="1"/>
  <c r="I28" i="1"/>
  <c r="I27" i="1"/>
  <c r="J64" i="1" l="1"/>
  <c r="K64" i="1" s="1"/>
  <c r="J27" i="1"/>
  <c r="K27" i="1" s="1"/>
  <c r="J32" i="1"/>
  <c r="J29" i="1"/>
  <c r="K29" i="1" s="1"/>
  <c r="J28" i="1"/>
  <c r="J26" i="1" l="1"/>
  <c r="K32" i="1"/>
  <c r="K31" i="1" s="1"/>
  <c r="J31" i="1"/>
  <c r="K28" i="1"/>
  <c r="K26" i="1" s="1"/>
  <c r="C16" i="3" s="1"/>
  <c r="C18" i="3" l="1"/>
  <c r="H18" i="3" s="1"/>
  <c r="M16" i="3"/>
  <c r="H16" i="3"/>
  <c r="F72" i="1"/>
  <c r="O8" i="2"/>
  <c r="O9" i="2" s="1"/>
  <c r="I7" i="2"/>
  <c r="I8" i="2" s="1"/>
  <c r="I12" i="2" s="1"/>
  <c r="F67" i="1" s="1"/>
  <c r="F81" i="1"/>
  <c r="I77" i="1"/>
  <c r="J77" i="1" s="1"/>
  <c r="K77" i="1" s="1"/>
  <c r="M18" i="3" l="1"/>
  <c r="F82" i="1"/>
  <c r="I79" i="1"/>
  <c r="J79" i="1" s="1"/>
  <c r="K79" i="1" s="1"/>
  <c r="I80" i="1"/>
  <c r="J80" i="1" s="1"/>
  <c r="K80" i="1" s="1"/>
  <c r="I81" i="1"/>
  <c r="K81" i="1" s="1"/>
  <c r="I82" i="1"/>
  <c r="J82" i="1" s="1"/>
  <c r="K82" i="1" s="1"/>
  <c r="I85" i="1"/>
  <c r="J85" i="1" s="1"/>
  <c r="K85" i="1" s="1"/>
  <c r="I78" i="1"/>
  <c r="J78" i="1" s="1"/>
  <c r="K78" i="1" s="1"/>
  <c r="I88" i="1"/>
  <c r="I89" i="1"/>
  <c r="J89" i="1" s="1"/>
  <c r="K89" i="1" s="1"/>
  <c r="I96" i="1"/>
  <c r="J96" i="1" s="1"/>
  <c r="K96" i="1" l="1"/>
  <c r="K94" i="1" s="1"/>
  <c r="C30" i="3" s="1"/>
  <c r="J94" i="1"/>
  <c r="J74" i="1"/>
  <c r="K74" i="1"/>
  <c r="C26" i="3" s="1"/>
  <c r="J88" i="1"/>
  <c r="K88" i="1" s="1"/>
  <c r="K87" i="1" s="1"/>
  <c r="C28" i="3" s="1"/>
  <c r="I19" i="1"/>
  <c r="I20" i="1"/>
  <c r="I21" i="1"/>
  <c r="J21" i="1" s="1"/>
  <c r="K21" i="1" s="1"/>
  <c r="I22" i="1"/>
  <c r="F20" i="1"/>
  <c r="F19" i="1"/>
  <c r="B4" i="2"/>
  <c r="J24" i="1"/>
  <c r="K24" i="1" s="1"/>
  <c r="J48" i="1"/>
  <c r="K48" i="1" s="1"/>
  <c r="I38" i="1"/>
  <c r="J38" i="1" s="1"/>
  <c r="K38" i="1" s="1"/>
  <c r="I39" i="1"/>
  <c r="J39" i="1" s="1"/>
  <c r="K39" i="1" s="1"/>
  <c r="I40" i="1"/>
  <c r="J40" i="1" s="1"/>
  <c r="K40" i="1" s="1"/>
  <c r="I41" i="1"/>
  <c r="J41" i="1" s="1"/>
  <c r="K41" i="1" s="1"/>
  <c r="I42" i="1"/>
  <c r="J42" i="1" s="1"/>
  <c r="K42" i="1" s="1"/>
  <c r="I43" i="1"/>
  <c r="J43" i="1" s="1"/>
  <c r="K43" i="1" s="1"/>
  <c r="I44" i="1"/>
  <c r="J44" i="1" s="1"/>
  <c r="K44" i="1" s="1"/>
  <c r="I45" i="1"/>
  <c r="J45" i="1" s="1"/>
  <c r="K45" i="1" s="1"/>
  <c r="I69" i="1"/>
  <c r="F68" i="1"/>
  <c r="M26" i="3" l="1"/>
  <c r="H26" i="3"/>
  <c r="H28" i="3"/>
  <c r="M28" i="3"/>
  <c r="H30" i="3"/>
  <c r="M30" i="3"/>
  <c r="J87" i="1"/>
  <c r="J22" i="1"/>
  <c r="K22" i="1" s="1"/>
  <c r="J20" i="1"/>
  <c r="K20" i="1" s="1"/>
  <c r="J69" i="1"/>
  <c r="K69" i="1" s="1"/>
  <c r="F3" i="2" l="1"/>
  <c r="I51" i="1" l="1"/>
  <c r="J51" i="1" s="1"/>
  <c r="I72" i="1"/>
  <c r="J72" i="1" s="1"/>
  <c r="K72" i="1" s="1"/>
  <c r="K51" i="1" l="1"/>
  <c r="J52" i="1"/>
  <c r="I70" i="1"/>
  <c r="J70" i="1" s="1"/>
  <c r="K70" i="1" s="1"/>
  <c r="I18" i="1"/>
  <c r="F18" i="1"/>
  <c r="K52" i="1" l="1"/>
  <c r="J18" i="1"/>
  <c r="K18" i="1" l="1"/>
  <c r="I57" i="1" l="1"/>
  <c r="I54" i="1"/>
  <c r="I53" i="1"/>
  <c r="I55" i="1"/>
  <c r="I60" i="1"/>
  <c r="I37" i="1"/>
  <c r="I56" i="1"/>
  <c r="J19" i="1"/>
  <c r="I67" i="1"/>
  <c r="K19" i="1" l="1"/>
  <c r="K17" i="1" s="1"/>
  <c r="J17" i="1"/>
  <c r="J60" i="1"/>
  <c r="K60" i="1" s="1"/>
  <c r="J54" i="1"/>
  <c r="K54" i="1" s="1"/>
  <c r="J68" i="1"/>
  <c r="K68" i="1" s="1"/>
  <c r="J56" i="1"/>
  <c r="K56" i="1" s="1"/>
  <c r="J67" i="1"/>
  <c r="J53" i="1"/>
  <c r="J55" i="1"/>
  <c r="K55" i="1" s="1"/>
  <c r="J57" i="1"/>
  <c r="K57" i="1" s="1"/>
  <c r="J37" i="1"/>
  <c r="J36" i="1" s="1"/>
  <c r="C14" i="3" l="1"/>
  <c r="H14" i="3" s="1"/>
  <c r="J50" i="1"/>
  <c r="K53" i="1"/>
  <c r="K67" i="1"/>
  <c r="K66" i="1" s="1"/>
  <c r="J66" i="1"/>
  <c r="K37" i="1"/>
  <c r="K36" i="1" s="1"/>
  <c r="C20" i="3" s="1"/>
  <c r="M14" i="3" l="1"/>
  <c r="H20" i="3"/>
  <c r="M20" i="3"/>
  <c r="C24" i="3"/>
  <c r="J15" i="1"/>
  <c r="K50" i="1"/>
  <c r="C22" i="3" s="1"/>
  <c r="K15" i="1" l="1"/>
  <c r="L33" i="1" s="1"/>
  <c r="C32" i="3"/>
  <c r="H22" i="3"/>
  <c r="M22" i="3"/>
  <c r="M24" i="3"/>
  <c r="H24" i="3"/>
  <c r="L48" i="1" l="1"/>
  <c r="L81" i="1"/>
  <c r="L44" i="1"/>
  <c r="L37" i="1"/>
  <c r="L39" i="1"/>
  <c r="L90" i="1"/>
  <c r="L109" i="1"/>
  <c r="L84" i="1"/>
  <c r="L68" i="1"/>
  <c r="L75" i="1"/>
  <c r="L19" i="1"/>
  <c r="L80" i="1"/>
  <c r="L29" i="1"/>
  <c r="L110" i="1"/>
  <c r="L70" i="1"/>
  <c r="L96" i="1"/>
  <c r="L59" i="1"/>
  <c r="L105" i="1"/>
  <c r="L58" i="1"/>
  <c r="L71" i="1"/>
  <c r="L45" i="1"/>
  <c r="L107" i="1"/>
  <c r="L67" i="1"/>
  <c r="L56" i="1"/>
  <c r="L60" i="1"/>
  <c r="L52" i="1"/>
  <c r="L38" i="1"/>
  <c r="L22" i="1"/>
  <c r="L89" i="1"/>
  <c r="L79" i="1"/>
  <c r="L77" i="1"/>
  <c r="L32" i="1"/>
  <c r="L97" i="1"/>
  <c r="L92" i="1"/>
  <c r="L76" i="1"/>
  <c r="L103" i="1"/>
  <c r="L106" i="1"/>
  <c r="L95" i="1"/>
  <c r="L55" i="1"/>
  <c r="L54" i="1"/>
  <c r="L18" i="1"/>
  <c r="L51" i="1"/>
  <c r="L42" i="1"/>
  <c r="L40" i="1"/>
  <c r="L21" i="1"/>
  <c r="L78" i="1"/>
  <c r="L82" i="1"/>
  <c r="L28" i="1"/>
  <c r="L64" i="1"/>
  <c r="L23" i="1"/>
  <c r="L83" i="1"/>
  <c r="L99" i="1"/>
  <c r="L102" i="1"/>
  <c r="L62" i="1"/>
  <c r="L101" i="1"/>
  <c r="L63" i="1"/>
  <c r="L53" i="1"/>
  <c r="L57" i="1"/>
  <c r="L72" i="1"/>
  <c r="L69" i="1"/>
  <c r="L41" i="1"/>
  <c r="L43" i="1"/>
  <c r="L20" i="1"/>
  <c r="L88" i="1"/>
  <c r="L85" i="1"/>
  <c r="L27" i="1"/>
  <c r="L46" i="1"/>
  <c r="L34" i="1"/>
  <c r="L91" i="1"/>
  <c r="L100" i="1"/>
  <c r="L104" i="1"/>
  <c r="L61" i="1"/>
  <c r="L24" i="1"/>
  <c r="L108" i="1"/>
  <c r="M25" i="3"/>
  <c r="I35" i="3"/>
  <c r="H29" i="3"/>
  <c r="H17" i="3"/>
  <c r="M17" i="3"/>
  <c r="M21" i="3"/>
  <c r="H27" i="3"/>
  <c r="M27" i="3"/>
  <c r="H23" i="3"/>
  <c r="M29" i="3"/>
  <c r="H21" i="3"/>
  <c r="M31" i="3"/>
  <c r="M23" i="3"/>
  <c r="H31" i="3"/>
  <c r="M19" i="3"/>
  <c r="H15" i="3"/>
  <c r="H19" i="3"/>
  <c r="M15" i="3"/>
  <c r="D35" i="3"/>
  <c r="D36" i="3" s="1"/>
  <c r="H25" i="3"/>
  <c r="L31" i="1" l="1"/>
  <c r="L17" i="1"/>
  <c r="L74" i="1"/>
  <c r="L66" i="1"/>
  <c r="L87" i="1"/>
  <c r="L26" i="1"/>
  <c r="L36" i="1"/>
  <c r="L50" i="1"/>
  <c r="L94" i="1"/>
  <c r="I36" i="3"/>
  <c r="I37" i="3" s="1"/>
  <c r="I33" i="3"/>
  <c r="D33" i="3"/>
  <c r="D34" i="3" s="1"/>
  <c r="L15" i="1" l="1"/>
  <c r="I34" i="3"/>
</calcChain>
</file>

<file path=xl/sharedStrings.xml><?xml version="1.0" encoding="utf-8"?>
<sst xmlns="http://schemas.openxmlformats.org/spreadsheetml/2006/main" count="538" uniqueCount="331">
  <si>
    <t>PREFEITURA MUNICIPAL DE ITATINGA</t>
  </si>
  <si>
    <t>Obra:</t>
  </si>
  <si>
    <t>B.D.I.:</t>
  </si>
  <si>
    <t>ITEM</t>
  </si>
  <si>
    <t>FONTE/ REF.</t>
  </si>
  <si>
    <t>UNID.</t>
  </si>
  <si>
    <t xml:space="preserve">ESQUADRIAS </t>
  </si>
  <si>
    <t>1.1</t>
  </si>
  <si>
    <t>-</t>
  </si>
  <si>
    <t>Vidro fantasia de 3/4 mm</t>
  </si>
  <si>
    <t xml:space="preserve">INSTALAÇÕES HIDRÁULICAS </t>
  </si>
  <si>
    <t>04.11.020</t>
  </si>
  <si>
    <t>Retirada de aparelho sanitário incluindo acessórios</t>
  </si>
  <si>
    <t>44.01.800</t>
  </si>
  <si>
    <t>Bacia sifonada com caixa de descarga acoplada sem tampa - 6 litros</t>
  </si>
  <si>
    <t>44.20.280</t>
  </si>
  <si>
    <t>Tampa de plástico para bacia sanitária</t>
  </si>
  <si>
    <t>44.03.590</t>
  </si>
  <si>
    <t>Torneira de mesa para pia com bica móvel e arejador em latão fundido cromado</t>
  </si>
  <si>
    <t xml:space="preserve">INSTALAÇÕES ELÉTRICAS </t>
  </si>
  <si>
    <t>3.1</t>
  </si>
  <si>
    <t>37.03.200</t>
  </si>
  <si>
    <t>Quadro de distribuição universal de embutir, para disjuntores 16 DIN / 12 Bolt-on - 150 A - sem componentes</t>
  </si>
  <si>
    <t>37.13.600</t>
  </si>
  <si>
    <t>39.03.170</t>
  </si>
  <si>
    <t>39.03.174</t>
  </si>
  <si>
    <t>39.03.178</t>
  </si>
  <si>
    <t>40.04.480</t>
  </si>
  <si>
    <t>Conjunto 1 interruptor simples e 1 tomada 2P+T de 10 A, completo</t>
  </si>
  <si>
    <t xml:space="preserve">PINTURA </t>
  </si>
  <si>
    <t>4.1</t>
  </si>
  <si>
    <t>33.10.030</t>
  </si>
  <si>
    <t>Tinta acrílica antimofo em massa, inclusive preparo</t>
  </si>
  <si>
    <t>4.2</t>
  </si>
  <si>
    <t>Acrílico para quadras e pisos cimentados</t>
  </si>
  <si>
    <t xml:space="preserve">SERVIÇOS COMPLEMENTARES </t>
  </si>
  <si>
    <t>5.1</t>
  </si>
  <si>
    <t>55.01.020</t>
  </si>
  <si>
    <t>Limpeza final da obra</t>
  </si>
  <si>
    <t>33.01.280</t>
  </si>
  <si>
    <t>Reparo de trincas rasas até 5,0 mm de largura, na massa</t>
  </si>
  <si>
    <t>CÓDIGO REF.</t>
  </si>
  <si>
    <t>DISCRIMINAÇÃO DOS SERVIÇOS</t>
  </si>
  <si>
    <t>QTDE</t>
  </si>
  <si>
    <t>VALOR MAT (R$)</t>
  </si>
  <si>
    <t>VALOR MDO (R$)</t>
  </si>
  <si>
    <t>%</t>
  </si>
  <si>
    <t xml:space="preserve">TOTAL GERAL </t>
  </si>
  <si>
    <t>Centro CEP. 18690-000 - Telefone (14) 3848-9800</t>
  </si>
  <si>
    <t>ASSESSORIA DE ENGENHARIA</t>
  </si>
  <si>
    <t xml:space="preserve">Rua Nove de Julho nº 304 – Centro </t>
  </si>
  <si>
    <t>FONTES DE REFERÊNCIA</t>
  </si>
  <si>
    <t>DIAS</t>
  </si>
  <si>
    <t>PRAZO DE EXECUÇÃO</t>
  </si>
  <si>
    <t>PLANIHA ORÇAMENTÁRIA - REFORMA DO QUIOSQUE COM CAMPO DE FUTEBOL</t>
  </si>
  <si>
    <t xml:space="preserve">un </t>
  </si>
  <si>
    <t>m</t>
  </si>
  <si>
    <t>m²</t>
  </si>
  <si>
    <t>cj</t>
  </si>
  <si>
    <t>PREÇO UNIT. S/ BDI (R$)</t>
  </si>
  <si>
    <t>PREÇO SERV. S/ BDI (R$)</t>
  </si>
  <si>
    <t>PREÇO SERV. C/ BDI (R$)</t>
  </si>
  <si>
    <t>CDHU</t>
  </si>
  <si>
    <t>Placa em lona com impressão digital e estrutura em madeira</t>
  </si>
  <si>
    <t>02.08.050</t>
  </si>
  <si>
    <t>04.09.060</t>
  </si>
  <si>
    <t>Retirada de batente, corrimão ou peças lineares metálicas, chumbados</t>
  </si>
  <si>
    <t>REMOÇÕES</t>
  </si>
  <si>
    <t>BATENTES METÁLICOS</t>
  </si>
  <si>
    <t>44.20.150</t>
  </si>
  <si>
    <t>Acabamento cromado para registro</t>
  </si>
  <si>
    <t>44.03.450</t>
  </si>
  <si>
    <t>35.01.150</t>
  </si>
  <si>
    <t>CJ</t>
  </si>
  <si>
    <t>04.18.060</t>
  </si>
  <si>
    <t>Remoção de caixa de entrada de energia padrão medição indireta completa</t>
  </si>
  <si>
    <t>VIDROS FANTASIA</t>
  </si>
  <si>
    <t>30.08.060</t>
  </si>
  <si>
    <t>Bacia sifonada de louça para pessoas com mobilidade reduzida ‐ capacidade de 6 litros</t>
  </si>
  <si>
    <t>44.20.010</t>
  </si>
  <si>
    <t>Sifão plástico sanfonado universal de 1"</t>
  </si>
  <si>
    <t>33.12.011</t>
  </si>
  <si>
    <t>Esmalte à base de água em madeira, inclusive preparo</t>
  </si>
  <si>
    <t>33.06.020</t>
  </si>
  <si>
    <t>4.3</t>
  </si>
  <si>
    <t>Esmalte a base de água em estrutura metálica</t>
  </si>
  <si>
    <t>33.07.102</t>
  </si>
  <si>
    <t>Grelha em ferro fundido para caixas e canaletas</t>
  </si>
  <si>
    <t>49.06.020</t>
  </si>
  <si>
    <t xml:space="preserve">REDE DE AGUAS PLUVIAIS </t>
  </si>
  <si>
    <t>TUBO PVC, SÉRIE R, ÁGUA PLUVIAL, DN 100 MM, FORNECIDO E INSTALADO EM CONDUTORES VERTICAIS DE ÁGUAS PLUVIAIS. AF_06/2022</t>
  </si>
  <si>
    <t>SINAPI</t>
  </si>
  <si>
    <t>Boletim Ref. De Custos - CDHU 187 - FDE 07/2022 - SINAPI 08/2022 - DESONERADOS</t>
  </si>
  <si>
    <t>24.02.010</t>
  </si>
  <si>
    <t>Porta em ferro de abrir, para receber vidro, sob medida</t>
  </si>
  <si>
    <t>04.09.020</t>
  </si>
  <si>
    <t>Retirada de esquadria metálica em geral</t>
  </si>
  <si>
    <t>TABELA DE BASQUETE</t>
  </si>
  <si>
    <t>03.01.040</t>
  </si>
  <si>
    <t>Demolição manual de concreto armado</t>
  </si>
  <si>
    <t>m³</t>
  </si>
  <si>
    <t>35.01.160</t>
  </si>
  <si>
    <t xml:space="preserve"> </t>
  </si>
  <si>
    <t>02.10.050</t>
  </si>
  <si>
    <t>12.01.021</t>
  </si>
  <si>
    <t>14.10.111</t>
  </si>
  <si>
    <t>17.02.020</t>
  </si>
  <si>
    <t>17.02.120</t>
  </si>
  <si>
    <t>17.02.220</t>
  </si>
  <si>
    <t>GRADIL</t>
  </si>
  <si>
    <t>4.4</t>
  </si>
  <si>
    <t>4.6</t>
  </si>
  <si>
    <t>PAREDES</t>
  </si>
  <si>
    <t>Platibanda</t>
  </si>
  <si>
    <t>Mureta</t>
  </si>
  <si>
    <t xml:space="preserve">TOTAL DA PINTURA </t>
  </si>
  <si>
    <t>04.09.140</t>
  </si>
  <si>
    <t>Retirada de poste ou sistema de sustentação para alambrado ou fechamento</t>
  </si>
  <si>
    <t>16.33.022</t>
  </si>
  <si>
    <t>Calha, rufo, afins em chapa galvanizada nº 24 - corte 0,33 m</t>
  </si>
  <si>
    <t>COBERTURA</t>
  </si>
  <si>
    <t>PISOS</t>
  </si>
  <si>
    <t>49.04.010</t>
  </si>
  <si>
    <t>Ralo seco em PVC rígido de 100 x 40 mm, com grelha</t>
  </si>
  <si>
    <t>1.2</t>
  </si>
  <si>
    <t>1.3</t>
  </si>
  <si>
    <t>1.4</t>
  </si>
  <si>
    <t>1.5</t>
  </si>
  <si>
    <t>2.1</t>
  </si>
  <si>
    <t>2.2</t>
  </si>
  <si>
    <t>2.3</t>
  </si>
  <si>
    <t>40.05.020</t>
  </si>
  <si>
    <t>Interruptor com 1 tecla simples e placa</t>
  </si>
  <si>
    <t>23.04.080</t>
  </si>
  <si>
    <t>Porta em laminado fenólico melamínico com batente em alumínio ‐ 60 x 160 cm</t>
  </si>
  <si>
    <t>24.02.450</t>
  </si>
  <si>
    <t>24.08.031</t>
  </si>
  <si>
    <t>Corrimão em tubo de aço inoxidável escovado, diâmetro de 1 1/2"</t>
  </si>
  <si>
    <t>Guarda‐corpo tubular com tela em aço galvanizado, diâmetro de 1 1/2´</t>
  </si>
  <si>
    <t>16.03.010</t>
  </si>
  <si>
    <t>Telhamento em cimento reforçado com fio sintético CRFS ‐ perfil ondulado de 6 mm</t>
  </si>
  <si>
    <t>PINTURA EXTERNA/INTERNA - ACRÍLICA</t>
  </si>
  <si>
    <t>LAJE DA PLATIBANDA E LAJE INTERNA</t>
  </si>
  <si>
    <t>15.01.320</t>
  </si>
  <si>
    <t>Estrutura em terças para telhas perfil e material qualquer, exceto barro</t>
  </si>
  <si>
    <t>18.06.102</t>
  </si>
  <si>
    <t>Placa cerâmica esmaltada PEI‐5 para área interna, grupo de absorção BIIb, resistência química B, assentado com argamassa colante industrializada</t>
  </si>
  <si>
    <t>Rejuntamento em placas cerâmicas com argamassa industrializada para rejunte, juntas acima de 3 até 5 mm</t>
  </si>
  <si>
    <t>18.06.410</t>
  </si>
  <si>
    <t>Grade de proteção para caixilhos</t>
  </si>
  <si>
    <t>11.03.090</t>
  </si>
  <si>
    <t>Concreto preparado no local, fck = 20,0 MPa</t>
  </si>
  <si>
    <t>Armadura em barra de aço CA-50 (A ou B) fyk = 500 MPa</t>
  </si>
  <si>
    <t>12.01.041</t>
  </si>
  <si>
    <t>Broca em concreto armado diâmetro de 25 cm ‐ completa</t>
  </si>
  <si>
    <t>GRADIL SEM PINTURA</t>
  </si>
  <si>
    <t>NÃO ENTROU NA SOMA</t>
  </si>
  <si>
    <t>1,70 DO PORTÃO EXCLUÍDO</t>
  </si>
  <si>
    <t>04.09.160</t>
  </si>
  <si>
    <t>Retirada de entelamento metálico em geral</t>
  </si>
  <si>
    <t>Portão tubular em tela de aço galvanizado até 2,50 m de altura, completo</t>
  </si>
  <si>
    <t>34.05.270</t>
  </si>
  <si>
    <t>GRADIL/MURETA/PROTEÇÃO DO PADRÃO DE ENTRADA</t>
  </si>
  <si>
    <t>Cabo de cobre de 6 mm², isolamento 0,6/1 kV - isolação em PVC 70°C (Chuveiros)</t>
  </si>
  <si>
    <t>Cabo de cobre de 4 mm², isolamento 0,6/1 kV - isolação em PVC 70°C.( Tomada)</t>
  </si>
  <si>
    <t>Cabo de cobre de 2,5 mm², isolamento 0,6/1 kV - isolação em PVC 70°C (Interruptores)</t>
  </si>
  <si>
    <t xml:space="preserve">Disjuntor termomagnético, unipolar 127/220 V, corrente de 10 A até 30 A </t>
  </si>
  <si>
    <t>Lampadas, Chuveiros, Holofotes externos</t>
  </si>
  <si>
    <t>Luminária LED retangular de sobrepor com difusor translúcido, 4000 K, fluxo luminoso de 3690 a 4800 lm, potência de 38 W a 41 W</t>
  </si>
  <si>
    <t>10.01.040</t>
  </si>
  <si>
    <t>Tabela completa com suporte e rede para basquete  (Somente Instalação)</t>
  </si>
  <si>
    <t xml:space="preserve">Retirada de  Trave de futebol society oficial 4,00x2,20m, incluso rede </t>
  </si>
  <si>
    <t>Trave de futebol society oficial 4,00x2,20m, incluso rede  (Somente Instalação)</t>
  </si>
  <si>
    <t>14.02.030</t>
  </si>
  <si>
    <t>Alvenaria de elevação de 1/2 tijolo maciço comum</t>
  </si>
  <si>
    <t>- ESTADO DE SÃO PAULO -</t>
  </si>
  <si>
    <t>Rua Nove de Julho nº 304 – Centro – CEP. 18690-000</t>
  </si>
  <si>
    <t>CNPJ nº 46.634.127/0001-63</t>
  </si>
  <si>
    <t>E-mail: engenharia@pmitatinga.sp.gov.br</t>
  </si>
  <si>
    <t>Site: www.pmitatinga.sp.gov.br</t>
  </si>
  <si>
    <t xml:space="preserve">CRONOGRAMA FÍSICO FINANCEIRO </t>
  </si>
  <si>
    <t>ETAPAS CONSTRUTIVAS</t>
  </si>
  <si>
    <t>TOTAL DO ITEM</t>
  </si>
  <si>
    <t>MÊS 1</t>
  </si>
  <si>
    <t>MÊS 2</t>
  </si>
  <si>
    <t>TOTAL</t>
  </si>
  <si>
    <t xml:space="preserve"> TOTAL</t>
  </si>
  <si>
    <t>% EXECUÇÃO MENSAL</t>
  </si>
  <si>
    <t>% ACUMULADA</t>
  </si>
  <si>
    <t>TOTAL MENSAL (R$)</t>
  </si>
  <si>
    <t>TOTAL ACUMULADO (R$)</t>
  </si>
  <si>
    <t>TOTAL GERAL (R$)</t>
  </si>
  <si>
    <t>__________________________________________________</t>
  </si>
  <si>
    <t>Engenheira Civil: Sirlene Ap. Thomé Vieira de Camargo</t>
  </si>
  <si>
    <t>CREA: 5069715397 -SP</t>
  </si>
  <si>
    <t>FDE</t>
  </si>
  <si>
    <t>interruptores</t>
  </si>
  <si>
    <t>chuveiros</t>
  </si>
  <si>
    <t>vestários e WC acessivel</t>
  </si>
  <si>
    <t>Depósito</t>
  </si>
  <si>
    <t>Vestiários, epósito e WC Acessível</t>
  </si>
  <si>
    <t>41.08.230</t>
  </si>
  <si>
    <t>Reator eletromagnético de alto fator de potência, para lâmpada vapor de sódio 150 W / 220 V</t>
  </si>
  <si>
    <t>39.03.182</t>
  </si>
  <si>
    <t>Cabo de cobre de 10 mm², isolamento 0,6/1 kV ‐ isolação em PVC 70°C</t>
  </si>
  <si>
    <t xml:space="preserve">Fiação  iluminação da Quadra </t>
  </si>
  <si>
    <t>DEMOLIÇÕES</t>
  </si>
  <si>
    <t>ESCADA</t>
  </si>
  <si>
    <t>PILAR DA TABELA</t>
  </si>
  <si>
    <t>RAMPA EXISTENTE</t>
  </si>
  <si>
    <t>CALÇADA QUE DÁ ACESSO À RAMPA</t>
  </si>
  <si>
    <t>03.01.020</t>
  </si>
  <si>
    <t>Demolição manual de concreto simples</t>
  </si>
  <si>
    <t>Cimentado desempenado 5cm</t>
  </si>
  <si>
    <t>05.07.040</t>
  </si>
  <si>
    <t>Remoção de entulho separado de obra com caçamba metálica ‐ terra, alvenaria, concreto, argamassa, madeira, papel, plástico ou metal</t>
  </si>
  <si>
    <t>33.09.021</t>
  </si>
  <si>
    <t>Tinta acrílica para faixas demarcatórias</t>
  </si>
  <si>
    <t>QUADRA NÃO ENTROU NO CÁLCULO</t>
  </si>
  <si>
    <t>PINTURA DA QUADRA</t>
  </si>
  <si>
    <t>PINTURA LINHAS DA QUADRA</t>
  </si>
  <si>
    <t>M²</t>
  </si>
  <si>
    <t>09.02.059</t>
  </si>
  <si>
    <t>AE-19 ABRIGO E ENTRADA DE ENERGIA (CAIXA II, IV OU E): AES ELETROP/BANDEIRANTE/CPFL/ELEKTRO</t>
  </si>
  <si>
    <t>Lampada Vapor de Sódio 150W</t>
  </si>
  <si>
    <t>43.02.140</t>
  </si>
  <si>
    <t>Chuveiro elétrico de 5.500 W / 220 V em PVC</t>
  </si>
  <si>
    <t>3.2</t>
  </si>
  <si>
    <t>26.01.230</t>
  </si>
  <si>
    <t>4.8</t>
  </si>
  <si>
    <t>4.5</t>
  </si>
  <si>
    <t>9.3</t>
  </si>
  <si>
    <t>4.7</t>
  </si>
  <si>
    <t>4.9</t>
  </si>
  <si>
    <t>4.10</t>
  </si>
  <si>
    <t>4.11</t>
  </si>
  <si>
    <t>5.2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</si>
  <si>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</si>
  <si>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</si>
  <si>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</si>
  <si>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</si>
  <si>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</si>
  <si>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</si>
  <si>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</si>
  <si>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</si>
  <si>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</si>
  <si>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</si>
  <si>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</si>
  <si>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</si>
  <si>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</si>
  <si>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</si>
  <si>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</si>
  <si>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</si>
  <si>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</si>
  <si>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</si>
  <si>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</si>
  <si>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</si>
  <si>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</si>
  <si>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8.1</t>
  </si>
  <si>
    <t>8.2</t>
  </si>
  <si>
    <t>8.3</t>
  </si>
  <si>
    <t>8.4</t>
  </si>
  <si>
    <t>8.5</t>
  </si>
  <si>
    <t>9.1</t>
  </si>
  <si>
    <t>9.2</t>
  </si>
  <si>
    <t>01 tomada no depósito</t>
  </si>
  <si>
    <t>LAJES</t>
  </si>
  <si>
    <t>6.1</t>
  </si>
  <si>
    <t>6.2</t>
  </si>
  <si>
    <t>6.3</t>
  </si>
  <si>
    <t>6.4</t>
  </si>
  <si>
    <t>6.5</t>
  </si>
  <si>
    <t>6.6</t>
  </si>
  <si>
    <t>Portas internas vestiários</t>
  </si>
  <si>
    <t>esquadrias metálicas inclusive grades</t>
  </si>
  <si>
    <t>parte da mureta da frente</t>
  </si>
  <si>
    <t>mureta a construir</t>
  </si>
  <si>
    <t>proteção entorno do poste de energia</t>
  </si>
  <si>
    <t>exceto portão</t>
  </si>
  <si>
    <t>Prazo: 60 dias</t>
  </si>
  <si>
    <t>ESQUADRIAS</t>
  </si>
  <si>
    <t>INSTALAÇÕES HIDRÁULCAS</t>
  </si>
  <si>
    <t>INSTALAÇÕES ELÉTRICAS</t>
  </si>
  <si>
    <t>PINTURA</t>
  </si>
  <si>
    <t>30.01.030</t>
  </si>
  <si>
    <t>Barra de apoio reta, para pessoas com mobilidade reduzida, em tubo de aço inoxidável de 1 1/2´ x 800 mm</t>
  </si>
  <si>
    <t>RAMPA /CALÇADA/ACESSIBILIDADE</t>
  </si>
  <si>
    <t>Chapisco</t>
  </si>
  <si>
    <t>Reboco</t>
  </si>
  <si>
    <t>Emboço comum</t>
  </si>
  <si>
    <t>Local: Avenida Benedito Rodrigues de Barros, 71, N.H.Vila Canaã</t>
  </si>
  <si>
    <t>Obra: Reforma da Quadra Poliesportiva- N.H. Vila Canaã</t>
  </si>
  <si>
    <t>REFORMA DA QUADRA POLIESPORTIVA NO N.H. VILA CANAÃ</t>
  </si>
  <si>
    <t/>
  </si>
  <si>
    <t>1.6</t>
  </si>
  <si>
    <t>1.7</t>
  </si>
  <si>
    <t>Torneira longa sem rosca para uso geral, em latão fundido cromado</t>
  </si>
  <si>
    <t>7.11</t>
  </si>
  <si>
    <t>24.03.100</t>
  </si>
  <si>
    <t>5.3</t>
  </si>
  <si>
    <t xml:space="preserve">Alçapão/tampa em chapa de ferro com porta cadeado  0,60x0,80m </t>
  </si>
  <si>
    <t>41.31.040</t>
  </si>
  <si>
    <t>09.85.011</t>
  </si>
  <si>
    <t xml:space="preserve"> Locação para muros, cercas e alambrados   </t>
  </si>
  <si>
    <t xml:space="preserve">Broca em concreto armado diâmetro de 20 cm - completa  </t>
  </si>
  <si>
    <t xml:space="preserve">Alvenaria de bloco de concreto de vedação de 14 x 19 x 39 cm - classe c  </t>
  </si>
  <si>
    <t xml:space="preserve">Chapisco </t>
  </si>
  <si>
    <t xml:space="preserve">Emboço comum </t>
  </si>
  <si>
    <t>24.02.100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</si>
  <si>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</si>
  <si>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</si>
  <si>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</si>
  <si>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</si>
  <si>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</si>
  <si>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</si>
  <si>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</si>
  <si>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</si>
  <si>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</si>
  <si>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</si>
  <si>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</si>
  <si>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</si>
  <si>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24.03.040</t>
  </si>
  <si>
    <t>17.03.020</t>
  </si>
  <si>
    <t>RESPONSÁVEL  CIVIL ORÇAMENTO: SIRLENE A. THOMÉ VIEIRA DE CAMARGO</t>
  </si>
  <si>
    <t>19.03.270</t>
  </si>
  <si>
    <t xml:space="preserve"> Rodabanca  em pedra ardósia, altura de 7 cm</t>
  </si>
  <si>
    <t>,</t>
  </si>
  <si>
    <t>3.3</t>
  </si>
  <si>
    <t>Alambrado em tela de aço galvanizado de 2", montantes metálicos retos</t>
  </si>
  <si>
    <t>Boletim Ref. De Custos - CDHU 190 - FDE 03/2023 - SINAPI 07/2023 - DESONERADOS</t>
  </si>
  <si>
    <t>Itatinga, 07deagosto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</si>
</sst>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_ ;[Red]\-#,##0.00\ "/>
    <numFmt numFmtId="166" formatCode="#,##0.00_ ;\-#,##0.00\ "/>
    <numFmt numFmtId="167" formatCode="#,##0_ ;[Red]\-#,##0\ "/>
    <numFmt numFmtId="168" formatCode="_(* #,##0_);_(* \(#,##0\);_(* \-??_);_(@_)"/>
    <numFmt numFmtId="169" formatCode="0.0"/>
    <numFmt numFmtId="170" formatCode="0.0000%"/>
    <numFmt numFmtId="171" formatCode="0.0%"/>
    <numFmt numFmtId="172" formatCode="#,##0.00_);[Red]\(#,##0.00\)"/>
  </numFmts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 "/>
    </font>
    <font>
      <b/>
      <sz val="8"/>
      <name val="Calibri "/>
    </font>
    <font>
      <sz val="8"/>
      <color theme="1"/>
      <name val="Calibri "/>
    </font>
    <font>
      <b/>
      <sz val="8"/>
      <color rgb="FFFF0000"/>
      <name val="Calibri "/>
    </font>
    <font>
      <sz val="8"/>
      <color rgb="FFFF0000"/>
      <name val="Calibri "/>
    </font>
    <font>
      <b/>
      <sz val="8"/>
      <color rgb="FF0070C0"/>
      <name val="Calibri "/>
    </font>
    <font>
      <b/>
      <sz val="14"/>
      <name val="Times New Roman"/>
      <family val="1"/>
    </font>
    <font>
      <sz val="8"/>
      <name val="Times New Roman"/>
      <family val="1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22"/>
      </patternFill>
    </fill>
    <fill>
      <patternFill patternType="solid">
        <fgColor theme="0"/>
        <bgColor indexed="26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/>
      <top/>
      <bottom/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double">
        <color indexed="23"/>
      </right>
      <top/>
      <bottom style="double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/>
      <diagonal/>
    </border>
    <border>
      <left style="double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double">
        <color indexed="23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double">
        <color indexed="23"/>
      </bottom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double">
        <color indexed="23"/>
      </bottom>
      <diagonal/>
    </border>
    <border>
      <left style="double">
        <color indexed="23"/>
      </left>
      <right/>
      <top style="thin">
        <color indexed="23"/>
      </top>
      <bottom style="double">
        <color indexed="23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/>
      <right style="double">
        <color indexed="23"/>
      </right>
      <top style="thin">
        <color indexed="23"/>
      </top>
      <bottom style="double">
        <color indexed="23"/>
      </bottom>
      <diagonal/>
    </border>
    <border>
      <left style="double">
        <color indexed="23"/>
      </left>
      <right/>
      <top style="double">
        <color indexed="23"/>
      </top>
      <bottom style="double">
        <color indexed="23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 style="double">
        <color indexed="23"/>
      </left>
      <right style="double">
        <color indexed="23"/>
      </right>
      <top/>
      <bottom style="thin">
        <color indexed="23"/>
      </bottom>
      <diagonal/>
    </border>
    <border>
      <left style="double">
        <color indexed="23"/>
      </left>
      <right/>
      <top/>
      <bottom style="thin">
        <color indexed="23"/>
      </bottom>
      <diagonal/>
    </border>
    <border>
      <left/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94">
    <xf numFmtId="0" fontId="0" fillId="0" borderId="0" xfId="0"/>
    <xf numFmtId="0" fontId="3" fillId="6" borderId="4" xfId="0" applyFont="1" applyFill="1" applyBorder="1" applyAlignment="1">
      <alignment horizontal="justify"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10" fontId="3" fillId="6" borderId="5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/>
    <xf numFmtId="165" fontId="5" fillId="6" borderId="0" xfId="0" applyNumberFormat="1" applyFont="1" applyFill="1" applyBorder="1" applyAlignment="1">
      <alignment horizontal="center" vertical="center" wrapText="1"/>
    </xf>
    <xf numFmtId="10" fontId="5" fillId="6" borderId="0" xfId="0" applyNumberFormat="1" applyFont="1" applyFill="1" applyBorder="1" applyAlignment="1">
      <alignment horizontal="center" vertical="center" wrapText="1"/>
    </xf>
    <xf numFmtId="10" fontId="6" fillId="5" borderId="5" xfId="0" applyNumberFormat="1" applyFont="1" applyFill="1" applyBorder="1" applyAlignment="1">
      <alignment horizontal="center"/>
    </xf>
    <xf numFmtId="165" fontId="3" fillId="6" borderId="7" xfId="0" applyNumberFormat="1" applyFont="1" applyFill="1" applyBorder="1" applyAlignment="1">
      <alignment horizontal="center" vertical="center" wrapText="1"/>
    </xf>
    <xf numFmtId="4" fontId="3" fillId="6" borderId="7" xfId="0" applyNumberFormat="1" applyFont="1" applyFill="1" applyBorder="1" applyAlignment="1">
      <alignment horizontal="center" vertical="center" wrapText="1"/>
    </xf>
    <xf numFmtId="10" fontId="3" fillId="6" borderId="8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4" fontId="3" fillId="4" borderId="11" xfId="0" applyNumberFormat="1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10" fontId="3" fillId="4" borderId="10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/>
    <xf numFmtId="0" fontId="5" fillId="5" borderId="11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4" fontId="3" fillId="5" borderId="5" xfId="0" applyNumberFormat="1" applyFont="1" applyFill="1" applyBorder="1" applyAlignment="1">
      <alignment horizontal="center" vertical="center" wrapText="1"/>
    </xf>
    <xf numFmtId="165" fontId="5" fillId="5" borderId="15" xfId="0" applyNumberFormat="1" applyFont="1" applyFill="1" applyBorder="1" applyAlignment="1">
      <alignment horizontal="center" vertical="center" wrapText="1"/>
    </xf>
    <xf numFmtId="10" fontId="5" fillId="5" borderId="1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justify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4" fontId="3" fillId="5" borderId="14" xfId="0" applyNumberFormat="1" applyFont="1" applyFill="1" applyBorder="1" applyAlignment="1">
      <alignment horizontal="center" vertical="center" wrapText="1"/>
    </xf>
    <xf numFmtId="165" fontId="3" fillId="5" borderId="14" xfId="0" applyNumberFormat="1" applyFont="1" applyFill="1" applyBorder="1" applyAlignment="1">
      <alignment horizontal="center" vertical="center" wrapText="1"/>
    </xf>
    <xf numFmtId="10" fontId="3" fillId="5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justify" vertical="center" wrapText="1"/>
    </xf>
    <xf numFmtId="165" fontId="3" fillId="5" borderId="7" xfId="0" applyNumberFormat="1" applyFont="1" applyFill="1" applyBorder="1" applyAlignment="1">
      <alignment horizontal="center" vertical="center" wrapText="1"/>
    </xf>
    <xf numFmtId="165" fontId="3" fillId="5" borderId="8" xfId="0" applyNumberFormat="1" applyFont="1" applyFill="1" applyBorder="1" applyAlignment="1">
      <alignment horizontal="center" vertical="center" wrapText="1"/>
    </xf>
    <xf numFmtId="4" fontId="3" fillId="5" borderId="8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165" fontId="3" fillId="0" borderId="11" xfId="0" applyNumberFormat="1" applyFont="1" applyFill="1" applyBorder="1" applyAlignment="1">
      <alignment horizontal="center" vertical="center" wrapText="1"/>
    </xf>
    <xf numFmtId="10" fontId="3" fillId="0" borderId="10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justify" vertical="center" wrapText="1"/>
    </xf>
    <xf numFmtId="165" fontId="3" fillId="5" borderId="11" xfId="0" applyNumberFormat="1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4" fontId="4" fillId="0" borderId="0" xfId="0" applyNumberFormat="1" applyFont="1"/>
    <xf numFmtId="10" fontId="4" fillId="0" borderId="0" xfId="0" applyNumberFormat="1" applyFont="1"/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0" fontId="3" fillId="0" borderId="8" xfId="0" applyNumberFormat="1" applyFont="1" applyFill="1" applyBorder="1" applyAlignment="1">
      <alignment horizontal="center" vertical="center" wrapText="1"/>
    </xf>
    <xf numFmtId="167" fontId="3" fillId="6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0" fillId="0" borderId="0" xfId="0" applyFont="1"/>
    <xf numFmtId="4" fontId="3" fillId="5" borderId="12" xfId="0" applyNumberFormat="1" applyFont="1" applyFill="1" applyBorder="1" applyAlignment="1">
      <alignment horizontal="center" vertical="center" wrapText="1"/>
    </xf>
    <xf numFmtId="165" fontId="3" fillId="5" borderId="12" xfId="0" applyNumberFormat="1" applyFont="1" applyFill="1" applyBorder="1" applyAlignment="1">
      <alignment horizontal="center" vertical="center" wrapText="1"/>
    </xf>
    <xf numFmtId="10" fontId="3" fillId="5" borderId="12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0" fontId="2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0" fontId="2" fillId="2" borderId="0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7" borderId="12" xfId="0" applyFill="1" applyBorder="1"/>
    <xf numFmtId="0" fontId="14" fillId="0" borderId="0" xfId="0" applyFont="1"/>
    <xf numFmtId="2" fontId="14" fillId="0" borderId="0" xfId="0" applyNumberFormat="1" applyFont="1"/>
    <xf numFmtId="0" fontId="0" fillId="0" borderId="9" xfId="0" applyBorder="1"/>
    <xf numFmtId="0" fontId="14" fillId="0" borderId="0" xfId="0" applyFont="1" applyBorder="1"/>
    <xf numFmtId="0" fontId="12" fillId="8" borderId="0" xfId="0" applyFont="1" applyFill="1"/>
    <xf numFmtId="2" fontId="12" fillId="8" borderId="0" xfId="0" applyNumberFormat="1" applyFont="1" applyFill="1"/>
    <xf numFmtId="0" fontId="14" fillId="8" borderId="0" xfId="0" applyFont="1" applyFill="1"/>
    <xf numFmtId="0" fontId="13" fillId="7" borderId="12" xfId="0" applyFont="1" applyFill="1" applyBorder="1" applyAlignment="1"/>
    <xf numFmtId="0" fontId="11" fillId="0" borderId="12" xfId="0" applyFont="1" applyBorder="1"/>
    <xf numFmtId="0" fontId="13" fillId="4" borderId="12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justify" vertical="center" wrapText="1"/>
    </xf>
    <xf numFmtId="0" fontId="20" fillId="9" borderId="21" xfId="0" applyFont="1" applyFill="1" applyBorder="1" applyAlignment="1">
      <alignment horizontal="center" vertical="center"/>
    </xf>
    <xf numFmtId="0" fontId="20" fillId="9" borderId="21" xfId="0" applyFont="1" applyFill="1" applyBorder="1" applyAlignment="1">
      <alignment horizontal="center" vertical="center" wrapText="1"/>
    </xf>
    <xf numFmtId="10" fontId="18" fillId="10" borderId="24" xfId="0" applyNumberFormat="1" applyFont="1" applyFill="1" applyBorder="1" applyAlignment="1">
      <alignment horizontal="left" vertical="center"/>
    </xf>
    <xf numFmtId="168" fontId="18" fillId="10" borderId="28" xfId="3" applyNumberFormat="1" applyFont="1" applyFill="1" applyBorder="1" applyAlignment="1" applyProtection="1">
      <alignment horizontal="center" vertical="center"/>
    </xf>
    <xf numFmtId="168" fontId="18" fillId="0" borderId="28" xfId="3" applyNumberFormat="1" applyFont="1" applyFill="1" applyBorder="1" applyAlignment="1" applyProtection="1">
      <alignment horizontal="center" vertical="center"/>
    </xf>
    <xf numFmtId="168" fontId="18" fillId="0" borderId="30" xfId="3" applyNumberFormat="1" applyFont="1" applyFill="1" applyBorder="1" applyAlignment="1" applyProtection="1">
      <alignment horizontal="center" vertical="center"/>
    </xf>
    <xf numFmtId="165" fontId="18" fillId="0" borderId="29" xfId="3" applyNumberFormat="1" applyFont="1" applyFill="1" applyBorder="1" applyAlignment="1" applyProtection="1">
      <alignment horizontal="center" vertical="center"/>
    </xf>
    <xf numFmtId="170" fontId="18" fillId="0" borderId="34" xfId="3" applyNumberFormat="1" applyFont="1" applyFill="1" applyBorder="1" applyAlignment="1" applyProtection="1">
      <alignment horizontal="center" vertical="center"/>
    </xf>
    <xf numFmtId="10" fontId="18" fillId="0" borderId="34" xfId="3" applyNumberFormat="1" applyFont="1" applyFill="1" applyBorder="1" applyAlignment="1" applyProtection="1">
      <alignment horizontal="center" vertical="center"/>
    </xf>
    <xf numFmtId="168" fontId="18" fillId="4" borderId="28" xfId="3" applyNumberFormat="1" applyFont="1" applyFill="1" applyBorder="1" applyAlignment="1" applyProtection="1">
      <alignment horizontal="center" vertical="center"/>
    </xf>
    <xf numFmtId="165" fontId="20" fillId="12" borderId="25" xfId="3" applyNumberFormat="1" applyFont="1" applyFill="1" applyBorder="1" applyAlignment="1" applyProtection="1">
      <alignment horizontal="center" vertical="center"/>
    </xf>
    <xf numFmtId="10" fontId="18" fillId="0" borderId="41" xfId="3" applyNumberFormat="1" applyFont="1" applyFill="1" applyBorder="1" applyAlignment="1" applyProtection="1">
      <alignment vertical="center"/>
    </xf>
    <xf numFmtId="169" fontId="18" fillId="9" borderId="38" xfId="0" applyNumberFormat="1" applyFont="1" applyFill="1" applyBorder="1" applyAlignment="1">
      <alignment horizontal="left" vertical="center"/>
    </xf>
    <xf numFmtId="43" fontId="18" fillId="9" borderId="39" xfId="3" applyFont="1" applyFill="1" applyBorder="1" applyAlignment="1" applyProtection="1">
      <alignment horizontal="right" vertical="center"/>
    </xf>
    <xf numFmtId="171" fontId="18" fillId="10" borderId="25" xfId="3" applyNumberFormat="1" applyFont="1" applyFill="1" applyBorder="1" applyAlignment="1" applyProtection="1">
      <alignment horizontal="center" vertical="center"/>
    </xf>
    <xf numFmtId="169" fontId="18" fillId="11" borderId="38" xfId="0" applyNumberFormat="1" applyFont="1" applyFill="1" applyBorder="1" applyAlignment="1">
      <alignment horizontal="left" vertical="center"/>
    </xf>
    <xf numFmtId="43" fontId="18" fillId="11" borderId="39" xfId="3" applyFont="1" applyFill="1" applyBorder="1" applyAlignment="1" applyProtection="1">
      <alignment horizontal="right" vertical="center"/>
    </xf>
    <xf numFmtId="171" fontId="18" fillId="0" borderId="25" xfId="3" applyNumberFormat="1" applyFont="1" applyFill="1" applyBorder="1" applyAlignment="1" applyProtection="1">
      <alignment horizontal="center" vertical="center"/>
    </xf>
    <xf numFmtId="0" fontId="18" fillId="9" borderId="38" xfId="0" applyFont="1" applyFill="1" applyBorder="1" applyAlignment="1">
      <alignment horizontal="left" vertical="center"/>
    </xf>
    <xf numFmtId="10" fontId="18" fillId="10" borderId="25" xfId="3" applyNumberFormat="1" applyFont="1" applyFill="1" applyBorder="1" applyAlignment="1" applyProtection="1">
      <alignment vertical="center"/>
    </xf>
    <xf numFmtId="0" fontId="18" fillId="11" borderId="38" xfId="0" applyFont="1" applyFill="1" applyBorder="1" applyAlignment="1">
      <alignment horizontal="left" vertical="center"/>
    </xf>
    <xf numFmtId="10" fontId="18" fillId="0" borderId="25" xfId="3" applyNumberFormat="1" applyFont="1" applyFill="1" applyBorder="1" applyAlignment="1" applyProtection="1">
      <alignment vertical="center"/>
    </xf>
    <xf numFmtId="0" fontId="18" fillId="0" borderId="0" xfId="0" applyFont="1" applyAlignment="1">
      <alignment vertical="center" wrapText="1"/>
    </xf>
    <xf numFmtId="10" fontId="18" fillId="0" borderId="0" xfId="0" applyNumberFormat="1" applyFont="1" applyFill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10" fontId="24" fillId="0" borderId="0" xfId="0" applyNumberFormat="1" applyFont="1" applyFill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2" fillId="0" borderId="0" xfId="0" applyFont="1"/>
    <xf numFmtId="0" fontId="3" fillId="5" borderId="9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4" fontId="3" fillId="5" borderId="10" xfId="0" applyNumberFormat="1" applyFont="1" applyFill="1" applyBorder="1" applyAlignment="1">
      <alignment horizontal="center" vertical="center" wrapText="1"/>
    </xf>
    <xf numFmtId="172" fontId="18" fillId="0" borderId="29" xfId="3" applyNumberFormat="1" applyFont="1" applyFill="1" applyBorder="1" applyAlignment="1" applyProtection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2" borderId="12" xfId="2" applyNumberFormat="1" applyFont="1" applyFill="1" applyBorder="1" applyAlignment="1">
      <alignment horizontal="center" vertical="center" wrapText="1"/>
    </xf>
    <xf numFmtId="165" fontId="2" fillId="2" borderId="12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10" fontId="2" fillId="2" borderId="12" xfId="0" applyNumberFormat="1" applyFont="1" applyFill="1" applyBorder="1" applyAlignment="1">
      <alignment horizontal="center" vertical="center" wrapText="1"/>
    </xf>
    <xf numFmtId="166" fontId="2" fillId="3" borderId="12" xfId="2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5" fontId="2" fillId="0" borderId="13" xfId="0" applyNumberFormat="1" applyFont="1" applyBorder="1" applyAlignment="1">
      <alignment horizontal="center" vertical="center" wrapText="1"/>
    </xf>
    <xf numFmtId="166" fontId="2" fillId="2" borderId="13" xfId="2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165" fontId="2" fillId="2" borderId="13" xfId="0" applyNumberFormat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11" fillId="0" borderId="0" xfId="0" applyFont="1"/>
    <xf numFmtId="165" fontId="2" fillId="0" borderId="12" xfId="0" applyNumberFormat="1" applyFont="1" applyFill="1" applyBorder="1" applyAlignment="1">
      <alignment horizontal="center" vertical="center" wrapText="1"/>
    </xf>
    <xf numFmtId="4" fontId="2" fillId="2" borderId="12" xfId="2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left" vertical="center" wrapText="1"/>
    </xf>
    <xf numFmtId="165" fontId="2" fillId="0" borderId="14" xfId="0" applyNumberFormat="1" applyFont="1" applyFill="1" applyBorder="1" applyAlignment="1">
      <alignment horizontal="center" vertical="center" wrapText="1"/>
    </xf>
    <xf numFmtId="166" fontId="2" fillId="2" borderId="14" xfId="2" applyNumberFormat="1" applyFont="1" applyFill="1" applyBorder="1" applyAlignment="1">
      <alignment horizontal="center" vertical="center" wrapText="1"/>
    </xf>
    <xf numFmtId="165" fontId="2" fillId="2" borderId="14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1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165" fontId="2" fillId="4" borderId="12" xfId="0" applyNumberFormat="1" applyFont="1" applyFill="1" applyBorder="1" applyAlignment="1">
      <alignment horizontal="center" vertical="center" wrapText="1"/>
    </xf>
    <xf numFmtId="166" fontId="2" fillId="4" borderId="12" xfId="2" applyNumberFormat="1" applyFont="1" applyFill="1" applyBorder="1" applyAlignment="1">
      <alignment horizontal="center" vertical="center" wrapText="1"/>
    </xf>
    <xf numFmtId="4" fontId="2" fillId="4" borderId="12" xfId="0" applyNumberFormat="1" applyFont="1" applyFill="1" applyBorder="1" applyAlignment="1">
      <alignment horizontal="center" vertical="center" wrapText="1"/>
    </xf>
    <xf numFmtId="165" fontId="2" fillId="4" borderId="13" xfId="0" applyNumberFormat="1" applyFont="1" applyFill="1" applyBorder="1" applyAlignment="1">
      <alignment horizontal="center" vertical="center" wrapText="1"/>
    </xf>
    <xf numFmtId="10" fontId="2" fillId="4" borderId="12" xfId="0" applyNumberFormat="1" applyFont="1" applyFill="1" applyBorder="1" applyAlignment="1">
      <alignment horizontal="center" vertical="center" wrapText="1"/>
    </xf>
    <xf numFmtId="0" fontId="11" fillId="4" borderId="0" xfId="0" applyFont="1" applyFill="1"/>
    <xf numFmtId="0" fontId="2" fillId="3" borderId="12" xfId="1" applyFont="1" applyFill="1" applyBorder="1" applyAlignment="1">
      <alignment horizontal="left" vertical="center" wrapText="1"/>
    </xf>
    <xf numFmtId="0" fontId="2" fillId="4" borderId="14" xfId="1" applyFont="1" applyFill="1" applyBorder="1" applyAlignment="1">
      <alignment horizontal="left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left" vertical="center" wrapText="1"/>
    </xf>
    <xf numFmtId="166" fontId="2" fillId="2" borderId="0" xfId="2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justify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0" fontId="18" fillId="0" borderId="29" xfId="3" applyNumberFormat="1" applyFont="1" applyFill="1" applyBorder="1" applyAlignment="1" applyProtection="1">
      <alignment vertical="center"/>
    </xf>
    <xf numFmtId="0" fontId="20" fillId="9" borderId="25" xfId="0" applyFont="1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18" fillId="0" borderId="7" xfId="0" applyFont="1" applyFill="1" applyBorder="1" applyAlignment="1">
      <alignment vertical="center" wrapText="1"/>
    </xf>
    <xf numFmtId="0" fontId="0" fillId="0" borderId="45" xfId="0" applyBorder="1"/>
    <xf numFmtId="0" fontId="18" fillId="0" borderId="46" xfId="0" applyFont="1" applyFill="1" applyBorder="1" applyAlignment="1">
      <alignment vertical="center"/>
    </xf>
    <xf numFmtId="168" fontId="18" fillId="4" borderId="28" xfId="3" quotePrefix="1" applyNumberFormat="1" applyFont="1" applyFill="1" applyBorder="1" applyAlignment="1" applyProtection="1">
      <alignment horizontal="center" vertical="center"/>
    </xf>
    <xf numFmtId="168" fontId="18" fillId="4" borderId="27" xfId="3" applyNumberFormat="1" applyFont="1" applyFill="1" applyBorder="1" applyAlignment="1" applyProtection="1">
      <alignment horizontal="center" vertical="center"/>
    </xf>
    <xf numFmtId="168" fontId="18" fillId="4" borderId="30" xfId="3" applyNumberFormat="1" applyFont="1" applyFill="1" applyBorder="1" applyAlignment="1" applyProtection="1">
      <alignment horizontal="center" vertical="center"/>
    </xf>
    <xf numFmtId="168" fontId="18" fillId="5" borderId="28" xfId="3" applyNumberFormat="1" applyFont="1" applyFill="1" applyBorder="1" applyAlignment="1" applyProtection="1">
      <alignment horizontal="center" vertical="center"/>
    </xf>
    <xf numFmtId="168" fontId="18" fillId="5" borderId="27" xfId="3" applyNumberFormat="1" applyFont="1" applyFill="1" applyBorder="1" applyAlignment="1" applyProtection="1">
      <alignment horizontal="center" vertical="center"/>
    </xf>
    <xf numFmtId="168" fontId="18" fillId="5" borderId="30" xfId="3" applyNumberFormat="1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justify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0" fontId="7" fillId="0" borderId="12" xfId="0" applyNumberFormat="1" applyFont="1" applyFill="1" applyBorder="1" applyAlignment="1">
      <alignment horizontal="center" vertical="center" wrapText="1"/>
    </xf>
    <xf numFmtId="10" fontId="7" fillId="0" borderId="13" xfId="0" applyNumberFormat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6" xfId="0" applyNumberFormat="1" applyFont="1" applyBorder="1" applyAlignment="1">
      <alignment horizontal="center" vertical="center" wrapText="1"/>
    </xf>
    <xf numFmtId="49" fontId="19" fillId="0" borderId="43" xfId="0" applyNumberFormat="1" applyFont="1" applyBorder="1" applyAlignment="1">
      <alignment horizontal="center" vertical="center" wrapText="1"/>
    </xf>
    <xf numFmtId="49" fontId="19" fillId="0" borderId="17" xfId="0" applyNumberFormat="1" applyFont="1" applyBorder="1" applyAlignment="1">
      <alignment horizontal="center" vertical="center" wrapText="1"/>
    </xf>
    <xf numFmtId="49" fontId="19" fillId="0" borderId="18" xfId="0" applyNumberFormat="1" applyFont="1" applyBorder="1" applyAlignment="1">
      <alignment horizontal="center" vertical="center" wrapText="1"/>
    </xf>
    <xf numFmtId="49" fontId="8" fillId="0" borderId="44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168" fontId="18" fillId="0" borderId="4" xfId="3" applyNumberFormat="1" applyFont="1" applyFill="1" applyBorder="1" applyAlignment="1" applyProtection="1">
      <alignment horizontal="left" vertical="center"/>
    </xf>
    <xf numFmtId="168" fontId="18" fillId="0" borderId="0" xfId="3" applyNumberFormat="1" applyFont="1" applyFill="1" applyBorder="1" applyAlignment="1" applyProtection="1">
      <alignment horizontal="left" vertical="center"/>
    </xf>
    <xf numFmtId="168" fontId="18" fillId="0" borderId="16" xfId="3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16" xfId="0" applyNumberFormat="1" applyFont="1" applyBorder="1" applyAlignment="1">
      <alignment horizontal="center" vertical="center" wrapText="1"/>
    </xf>
    <xf numFmtId="168" fontId="18" fillId="0" borderId="4" xfId="3" applyNumberFormat="1" applyFont="1" applyFill="1" applyBorder="1" applyAlignment="1" applyProtection="1">
      <alignment horizontal="left" vertical="center" wrapText="1"/>
    </xf>
    <xf numFmtId="168" fontId="18" fillId="0" borderId="0" xfId="3" applyNumberFormat="1" applyFont="1" applyFill="1" applyBorder="1" applyAlignment="1" applyProtection="1">
      <alignment horizontal="left" vertical="center" wrapText="1"/>
    </xf>
    <xf numFmtId="168" fontId="18" fillId="0" borderId="16" xfId="3" applyNumberFormat="1" applyFont="1" applyFill="1" applyBorder="1" applyAlignment="1" applyProtection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20" fillId="9" borderId="22" xfId="0" applyFont="1" applyFill="1" applyBorder="1" applyAlignment="1">
      <alignment horizontal="center" vertical="center" wrapText="1"/>
    </xf>
    <xf numFmtId="0" fontId="20" fillId="9" borderId="0" xfId="0" applyFont="1" applyFill="1" applyBorder="1" applyAlignment="1">
      <alignment horizontal="center" vertical="center" wrapText="1"/>
    </xf>
    <xf numFmtId="0" fontId="20" fillId="9" borderId="23" xfId="0" applyFont="1" applyFill="1" applyBorder="1" applyAlignment="1">
      <alignment horizontal="center" vertical="center" wrapText="1"/>
    </xf>
    <xf numFmtId="1" fontId="18" fillId="11" borderId="25" xfId="0" applyNumberFormat="1" applyFont="1" applyFill="1" applyBorder="1" applyAlignment="1">
      <alignment horizontal="center" vertical="center"/>
    </xf>
    <xf numFmtId="169" fontId="18" fillId="11" borderId="26" xfId="0" applyNumberFormat="1" applyFont="1" applyFill="1" applyBorder="1" applyAlignment="1">
      <alignment horizontal="left" vertical="center" wrapText="1"/>
    </xf>
    <xf numFmtId="169" fontId="18" fillId="11" borderId="24" xfId="0" applyNumberFormat="1" applyFont="1" applyFill="1" applyBorder="1" applyAlignment="1">
      <alignment horizontal="left" vertical="center" wrapText="1"/>
    </xf>
    <xf numFmtId="165" fontId="18" fillId="11" borderId="25" xfId="3" applyNumberFormat="1" applyFont="1" applyFill="1" applyBorder="1" applyAlignment="1" applyProtection="1">
      <alignment horizontal="center" vertical="center"/>
    </xf>
    <xf numFmtId="9" fontId="18" fillId="14" borderId="31" xfId="3" applyNumberFormat="1" applyFont="1" applyFill="1" applyBorder="1" applyAlignment="1" applyProtection="1">
      <alignment horizontal="center" vertical="center"/>
    </xf>
    <xf numFmtId="9" fontId="18" fillId="14" borderId="32" xfId="3" applyNumberFormat="1" applyFont="1" applyFill="1" applyBorder="1" applyAlignment="1" applyProtection="1">
      <alignment horizontal="center" vertical="center"/>
    </xf>
    <xf numFmtId="9" fontId="18" fillId="14" borderId="33" xfId="3" applyNumberFormat="1" applyFont="1" applyFill="1" applyBorder="1" applyAlignment="1" applyProtection="1">
      <alignment horizontal="center" vertical="center"/>
    </xf>
    <xf numFmtId="165" fontId="18" fillId="11" borderId="26" xfId="3" applyNumberFormat="1" applyFont="1" applyFill="1" applyBorder="1" applyAlignment="1" applyProtection="1">
      <alignment horizontal="center" vertical="center"/>
    </xf>
    <xf numFmtId="165" fontId="18" fillId="11" borderId="24" xfId="3" applyNumberFormat="1" applyFont="1" applyFill="1" applyBorder="1" applyAlignment="1" applyProtection="1">
      <alignment horizontal="center" vertical="center"/>
    </xf>
    <xf numFmtId="9" fontId="18" fillId="14" borderId="35" xfId="3" applyNumberFormat="1" applyFont="1" applyFill="1" applyBorder="1" applyAlignment="1" applyProtection="1">
      <alignment horizontal="center" vertical="center"/>
    </xf>
    <xf numFmtId="9" fontId="18" fillId="14" borderId="36" xfId="3" applyNumberFormat="1" applyFont="1" applyFill="1" applyBorder="1" applyAlignment="1" applyProtection="1">
      <alignment horizontal="center" vertical="center"/>
    </xf>
    <xf numFmtId="9" fontId="18" fillId="14" borderId="37" xfId="3" applyNumberFormat="1" applyFont="1" applyFill="1" applyBorder="1" applyAlignment="1" applyProtection="1">
      <alignment horizontal="center" vertical="center"/>
    </xf>
    <xf numFmtId="169" fontId="18" fillId="11" borderId="38" xfId="0" applyNumberFormat="1" applyFont="1" applyFill="1" applyBorder="1" applyAlignment="1">
      <alignment horizontal="left" vertical="center"/>
    </xf>
    <xf numFmtId="169" fontId="18" fillId="11" borderId="39" xfId="0" applyNumberFormat="1" applyFont="1" applyFill="1" applyBorder="1" applyAlignment="1">
      <alignment horizontal="left" vertical="center"/>
    </xf>
    <xf numFmtId="9" fontId="18" fillId="11" borderId="40" xfId="3" applyNumberFormat="1" applyFont="1" applyFill="1" applyBorder="1" applyAlignment="1" applyProtection="1">
      <alignment vertical="center"/>
    </xf>
    <xf numFmtId="9" fontId="18" fillId="11" borderId="24" xfId="3" applyNumberFormat="1" applyFont="1" applyFill="1" applyBorder="1" applyAlignment="1" applyProtection="1">
      <alignment vertical="center"/>
    </xf>
    <xf numFmtId="169" fontId="18" fillId="11" borderId="26" xfId="0" applyNumberFormat="1" applyFont="1" applyFill="1" applyBorder="1" applyAlignment="1">
      <alignment horizontal="center" textRotation="255"/>
    </xf>
    <xf numFmtId="169" fontId="18" fillId="11" borderId="25" xfId="0" applyNumberFormat="1" applyFont="1" applyFill="1" applyBorder="1" applyAlignment="1">
      <alignment horizontal="center" textRotation="255"/>
    </xf>
    <xf numFmtId="10" fontId="18" fillId="9" borderId="25" xfId="4" applyNumberFormat="1" applyFont="1" applyFill="1" applyBorder="1" applyAlignment="1" applyProtection="1">
      <alignment horizontal="center" vertical="center"/>
    </xf>
    <xf numFmtId="10" fontId="18" fillId="11" borderId="25" xfId="3" applyNumberFormat="1" applyFont="1" applyFill="1" applyBorder="1" applyAlignment="1" applyProtection="1">
      <alignment horizontal="center" vertical="center"/>
    </xf>
    <xf numFmtId="165" fontId="18" fillId="9" borderId="38" xfId="3" applyNumberFormat="1" applyFont="1" applyFill="1" applyBorder="1" applyAlignment="1" applyProtection="1">
      <alignment horizontal="center" vertical="center"/>
    </xf>
    <xf numFmtId="165" fontId="18" fillId="9" borderId="39" xfId="3" applyNumberFormat="1" applyFont="1" applyFill="1" applyBorder="1" applyAlignment="1" applyProtection="1">
      <alignment horizontal="center" vertical="center"/>
    </xf>
    <xf numFmtId="165" fontId="18" fillId="9" borderId="42" xfId="3" applyNumberFormat="1" applyFont="1" applyFill="1" applyBorder="1" applyAlignment="1" applyProtection="1">
      <alignment horizontal="center" vertical="center"/>
    </xf>
    <xf numFmtId="0" fontId="20" fillId="9" borderId="38" xfId="0" applyFont="1" applyFill="1" applyBorder="1" applyAlignment="1">
      <alignment horizontal="left" vertical="center"/>
    </xf>
    <xf numFmtId="0" fontId="20" fillId="9" borderId="39" xfId="0" applyFont="1" applyFill="1" applyBorder="1" applyAlignment="1">
      <alignment horizontal="left" vertical="center"/>
    </xf>
    <xf numFmtId="4" fontId="20" fillId="13" borderId="38" xfId="0" applyNumberFormat="1" applyFont="1" applyFill="1" applyBorder="1" applyAlignment="1">
      <alignment horizontal="center" vertical="center"/>
    </xf>
    <xf numFmtId="4" fontId="20" fillId="13" borderId="39" xfId="0" applyNumberFormat="1" applyFont="1" applyFill="1" applyBorder="1" applyAlignment="1">
      <alignment horizontal="center" vertical="center"/>
    </xf>
    <xf numFmtId="4" fontId="20" fillId="13" borderId="42" xfId="0" applyNumberFormat="1" applyFont="1" applyFill="1" applyBorder="1" applyAlignment="1">
      <alignment horizontal="center" vertical="center"/>
    </xf>
    <xf numFmtId="165" fontId="18" fillId="11" borderId="38" xfId="3" applyNumberFormat="1" applyFont="1" applyFill="1" applyBorder="1" applyAlignment="1" applyProtection="1">
      <alignment horizontal="center" vertical="center"/>
    </xf>
    <xf numFmtId="165" fontId="18" fillId="11" borderId="39" xfId="3" applyNumberFormat="1" applyFont="1" applyFill="1" applyBorder="1" applyAlignment="1" applyProtection="1">
      <alignment horizontal="center" vertical="center"/>
    </xf>
    <xf numFmtId="165" fontId="18" fillId="11" borderId="42" xfId="3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 wrapText="1"/>
    </xf>
    <xf numFmtId="0" fontId="20" fillId="0" borderId="0" xfId="0" applyFont="1" applyBorder="1" applyAlignment="1">
      <alignment horizontal="left" vertical="center"/>
    </xf>
    <xf numFmtId="165" fontId="20" fillId="0" borderId="0" xfId="0" applyNumberFormat="1" applyFont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13" fillId="7" borderId="10" xfId="0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</cellXfs>
  <cellStyles count="5">
    <cellStyle name="Normal" xfId="0" builtinId="0"/>
    <cellStyle name="Normal 2" xfId="1"/>
    <cellStyle name="Porcentagem" xfId="4" builtinId="5"/>
    <cellStyle name="Vírgula" xfId="3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47625</xdr:rowOff>
    </xdr:from>
    <xdr:to>
      <xdr:col>3</xdr:col>
      <xdr:colOff>390525</xdr:colOff>
      <xdr:row>4</xdr:row>
      <xdr:rowOff>0</xdr:rowOff>
    </xdr:to>
    <xdr:pic>
      <xdr:nvPicPr>
        <xdr:cNvPr id="2" name="Picture 1" descr="Brasão">
          <a:extLst>
            <a:ext uri="{FF2B5EF4-FFF2-40B4-BE49-F238E27FC236}">
              <a16:creationId xmlns:a16="http://schemas.microsoft.com/office/drawing/2014/main" id="{D3DE98B3-BC6B-448B-8792-3451BFDB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625"/>
          <a:ext cx="7715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</xdr:row>
      <xdr:rowOff>0</xdr:rowOff>
    </xdr:from>
    <xdr:to>
      <xdr:col>1</xdr:col>
      <xdr:colOff>1295400</xdr:colOff>
      <xdr:row>7</xdr:row>
      <xdr:rowOff>57150</xdr:rowOff>
    </xdr:to>
    <xdr:pic>
      <xdr:nvPicPr>
        <xdr:cNvPr id="2" name="Picture 47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90500"/>
          <a:ext cx="9334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%20OS%20CONVENIOS/2.%20EM%20ANDAMENTO/UBS%20-%20UNIDADE%20B&#193;SICA%20DE%20SA&#218;DE%20AV%20MMDCA/REFORMA%20UBS%20HORACIO%20E%20AMPLIA&#199;&#195;O/LICITA&#199;&#195;O/Planilha%20e%20cronograma%20-%20Reforma%20e%20Amplia&#231;&#227;o%20UBS%20Horacio%20final-%20Licita&#231;&#227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"/>
      <sheetName val="CRONOGRAMA "/>
      <sheetName val="MC 01"/>
      <sheetName val="MC2"/>
    </sheetNames>
    <sheetDataSet>
      <sheetData sheetId="0">
        <row r="13">
          <cell r="A13">
            <v>1</v>
          </cell>
        </row>
        <row r="22">
          <cell r="A22">
            <v>2</v>
          </cell>
        </row>
        <row r="34">
          <cell r="A34">
            <v>3</v>
          </cell>
        </row>
        <row r="43">
          <cell r="A43">
            <v>4</v>
          </cell>
        </row>
        <row r="58">
          <cell r="A58">
            <v>5</v>
          </cell>
        </row>
        <row r="66">
          <cell r="A66">
            <v>6</v>
          </cell>
        </row>
        <row r="73">
          <cell r="A73">
            <v>7</v>
          </cell>
        </row>
        <row r="84">
          <cell r="A84">
            <v>8</v>
          </cell>
        </row>
        <row r="97">
          <cell r="A97">
            <v>9</v>
          </cell>
          <cell r="D97" t="str">
            <v xml:space="preserve">SERVIÇOS COMPLEMENTARES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7"/>
  <sheetViews>
    <sheetView showGridLines="0" tabSelected="1" view="pageBreakPreview" topLeftCell="A101" zoomScale="130" zoomScaleNormal="55" zoomScaleSheetLayoutView="130" workbookViewId="0">
      <selection activeCell="D114" sqref="D114"/>
    </sheetView>
  </sheetViews>
  <sheetFormatPr defaultRowHeight="15"/>
  <cols>
    <col min="1" max="1" width="5.85546875" style="59" bestFit="1" customWidth="1"/>
    <col min="2" max="3" width="9.140625" style="59"/>
    <col min="4" max="4" width="54.5703125" style="59" customWidth="1"/>
    <col min="5" max="5" width="9.140625" style="59"/>
    <col min="6" max="6" width="9.28515625" style="59" bestFit="1" customWidth="1"/>
    <col min="7" max="7" width="9.7109375" style="59" customWidth="1"/>
    <col min="8" max="8" width="9.28515625" style="59" bestFit="1" customWidth="1"/>
    <col min="9" max="9" width="9" style="59" customWidth="1"/>
    <col min="10" max="10" width="9.85546875" style="60" customWidth="1"/>
    <col min="11" max="11" width="10.5703125" style="59" customWidth="1"/>
    <col min="12" max="12" width="8.7109375" style="61" customWidth="1"/>
    <col min="13" max="13" width="2" customWidth="1"/>
    <col min="14" max="17" width="0" hidden="1" customWidth="1"/>
  </cols>
  <sheetData>
    <row r="1" spans="1:12" ht="20.100000000000001" customHeight="1">
      <c r="A1" s="213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5"/>
    </row>
    <row r="2" spans="1:12" ht="20.100000000000001" customHeight="1">
      <c r="A2" s="216" t="s">
        <v>49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8"/>
    </row>
    <row r="3" spans="1:12" ht="20.100000000000001" customHeight="1">
      <c r="A3" s="216" t="s">
        <v>50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8"/>
    </row>
    <row r="4" spans="1:12" ht="20.100000000000001" customHeight="1">
      <c r="A4" s="216" t="s">
        <v>48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8"/>
    </row>
    <row r="5" spans="1:12" ht="20.100000000000001" customHeight="1">
      <c r="A5" s="219" t="s">
        <v>54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1"/>
    </row>
    <row r="6" spans="1:12" ht="15" customHeight="1">
      <c r="A6" s="1" t="s">
        <v>1</v>
      </c>
      <c r="B6" s="207" t="s">
        <v>292</v>
      </c>
      <c r="C6" s="207"/>
      <c r="D6" s="207"/>
      <c r="E6" s="207"/>
      <c r="F6" s="207"/>
      <c r="G6" s="207"/>
      <c r="H6" s="207"/>
      <c r="I6" s="2"/>
      <c r="J6" s="3"/>
      <c r="K6" s="2"/>
      <c r="L6" s="4"/>
    </row>
    <row r="7" spans="1:12" ht="15" customHeight="1">
      <c r="A7" s="208" t="s">
        <v>323</v>
      </c>
      <c r="B7" s="207"/>
      <c r="C7" s="207"/>
      <c r="D7" s="207"/>
      <c r="E7" s="207"/>
      <c r="F7" s="207"/>
      <c r="G7" s="207"/>
      <c r="H7" s="207"/>
      <c r="I7" s="2"/>
      <c r="J7" s="3"/>
      <c r="K7" s="2"/>
      <c r="L7" s="4"/>
    </row>
    <row r="8" spans="1:12" ht="24" customHeight="1">
      <c r="A8" s="208" t="s">
        <v>51</v>
      </c>
      <c r="B8" s="207"/>
      <c r="C8" s="207"/>
      <c r="D8" s="207"/>
      <c r="E8" s="207"/>
      <c r="F8" s="207"/>
      <c r="G8" s="207"/>
      <c r="H8" s="207"/>
      <c r="I8" s="193" t="s">
        <v>53</v>
      </c>
      <c r="J8" s="193"/>
      <c r="K8" s="69">
        <v>60</v>
      </c>
      <c r="L8" s="4" t="s">
        <v>52</v>
      </c>
    </row>
    <row r="9" spans="1:12" ht="15" customHeight="1">
      <c r="A9" s="209"/>
      <c r="B9" s="210"/>
      <c r="C9" s="210"/>
      <c r="D9" s="210"/>
      <c r="E9" s="210"/>
      <c r="F9" s="210"/>
      <c r="G9" s="210"/>
      <c r="H9" s="210"/>
      <c r="I9" s="5"/>
      <c r="J9" s="6" t="s">
        <v>2</v>
      </c>
      <c r="K9" s="7">
        <v>0.2</v>
      </c>
      <c r="L9" s="8" t="s">
        <v>46</v>
      </c>
    </row>
    <row r="10" spans="1:12" ht="15" customHeight="1">
      <c r="A10" s="211" t="s">
        <v>329</v>
      </c>
      <c r="B10" s="212"/>
      <c r="C10" s="212"/>
      <c r="D10" s="212"/>
      <c r="E10" s="212"/>
      <c r="F10" s="212"/>
      <c r="G10" s="212"/>
      <c r="H10" s="212"/>
      <c r="I10" s="9"/>
      <c r="J10" s="10"/>
      <c r="K10" s="9"/>
      <c r="L10" s="11"/>
    </row>
    <row r="11" spans="1:12" ht="3" customHeight="1">
      <c r="A11" s="62"/>
      <c r="B11" s="63"/>
      <c r="C11" s="63"/>
      <c r="D11" s="64"/>
      <c r="E11" s="64"/>
      <c r="F11" s="64"/>
      <c r="G11" s="63"/>
      <c r="H11" s="63"/>
      <c r="I11" s="65"/>
      <c r="J11" s="66"/>
      <c r="K11" s="67"/>
      <c r="L11" s="68"/>
    </row>
    <row r="12" spans="1:12" ht="20.100000000000001" customHeight="1">
      <c r="A12" s="194" t="s">
        <v>3</v>
      </c>
      <c r="B12" s="195" t="s">
        <v>4</v>
      </c>
      <c r="C12" s="195" t="s">
        <v>41</v>
      </c>
      <c r="D12" s="204" t="s">
        <v>42</v>
      </c>
      <c r="E12" s="194" t="s">
        <v>5</v>
      </c>
      <c r="F12" s="201" t="s">
        <v>43</v>
      </c>
      <c r="G12" s="202" t="s">
        <v>44</v>
      </c>
      <c r="H12" s="202" t="s">
        <v>45</v>
      </c>
      <c r="I12" s="201" t="s">
        <v>59</v>
      </c>
      <c r="J12" s="227" t="s">
        <v>60</v>
      </c>
      <c r="K12" s="202" t="s">
        <v>61</v>
      </c>
      <c r="L12" s="225" t="s">
        <v>46</v>
      </c>
    </row>
    <row r="13" spans="1:12" ht="20.100000000000001" customHeight="1">
      <c r="A13" s="195"/>
      <c r="B13" s="203"/>
      <c r="C13" s="203"/>
      <c r="D13" s="205"/>
      <c r="E13" s="195"/>
      <c r="F13" s="202"/>
      <c r="G13" s="206"/>
      <c r="H13" s="206"/>
      <c r="I13" s="202"/>
      <c r="J13" s="228"/>
      <c r="K13" s="206"/>
      <c r="L13" s="226"/>
    </row>
    <row r="14" spans="1:12" ht="5.0999999999999996" customHeight="1">
      <c r="A14" s="12"/>
      <c r="B14" s="13"/>
      <c r="C14" s="13"/>
      <c r="D14" s="14"/>
      <c r="E14" s="13"/>
      <c r="F14" s="15"/>
      <c r="G14" s="15"/>
      <c r="H14" s="15"/>
      <c r="I14" s="15"/>
      <c r="J14" s="16"/>
      <c r="K14" s="17"/>
      <c r="L14" s="18"/>
    </row>
    <row r="15" spans="1:12" ht="15" customHeight="1">
      <c r="A15" s="19"/>
      <c r="B15" s="20"/>
      <c r="C15" s="20"/>
      <c r="D15" s="20" t="s">
        <v>47</v>
      </c>
      <c r="E15" s="20"/>
      <c r="F15" s="20"/>
      <c r="G15" s="20"/>
      <c r="H15" s="20"/>
      <c r="I15" s="21"/>
      <c r="J15" s="22">
        <f>ROUNDDOWN(SUM(J17:J110)/2,2)</f>
        <v>149466.41</v>
      </c>
      <c r="K15" s="23">
        <f>ROUNDDOWN(SUM(K17:K110)/2,2)</f>
        <v>179359.69</v>
      </c>
      <c r="L15" s="24">
        <f>SUM(L17:L110)/2</f>
        <v>1.0000000168589329</v>
      </c>
    </row>
    <row r="16" spans="1:12" ht="5.0999999999999996" customHeight="1">
      <c r="A16" s="25"/>
      <c r="B16" s="26"/>
      <c r="C16" s="26"/>
      <c r="D16" s="27"/>
      <c r="E16" s="26"/>
      <c r="F16" s="28"/>
      <c r="G16" s="28"/>
      <c r="H16" s="28"/>
      <c r="I16" s="28"/>
      <c r="J16" s="16"/>
      <c r="K16" s="17"/>
      <c r="L16" s="18"/>
    </row>
    <row r="17" spans="1:12" ht="15" customHeight="1">
      <c r="A17" s="29">
        <v>1</v>
      </c>
      <c r="B17" s="196"/>
      <c r="C17" s="197"/>
      <c r="D17" s="198" t="s">
        <v>6</v>
      </c>
      <c r="E17" s="199"/>
      <c r="F17" s="199"/>
      <c r="G17" s="199"/>
      <c r="H17" s="199"/>
      <c r="I17" s="200"/>
      <c r="J17" s="30">
        <f>SUM(J18:J24)</f>
        <v>18480.368299999998</v>
      </c>
      <c r="K17" s="31">
        <f>SUM(K18:K24)</f>
        <v>22176.44196</v>
      </c>
      <c r="L17" s="32">
        <f>SUM(L18:L24)</f>
        <v>0.12364228528717908</v>
      </c>
    </row>
    <row r="18" spans="1:12" s="127" customFormat="1" ht="15" customHeight="1">
      <c r="A18" s="132" t="s">
        <v>7</v>
      </c>
      <c r="B18" s="33" t="s">
        <v>62</v>
      </c>
      <c r="C18" s="33" t="s">
        <v>64</v>
      </c>
      <c r="D18" s="133" t="s">
        <v>63</v>
      </c>
      <c r="E18" s="132" t="s">
        <v>57</v>
      </c>
      <c r="F18" s="134">
        <f>2*1.5</f>
        <v>3</v>
      </c>
      <c r="G18" s="135">
        <v>130.66999999999999</v>
      </c>
      <c r="H18" s="136">
        <v>46.27</v>
      </c>
      <c r="I18" s="136">
        <f>G18+H18</f>
        <v>176.94</v>
      </c>
      <c r="J18" s="137">
        <f>F18*I18</f>
        <v>530.81999999999994</v>
      </c>
      <c r="K18" s="136">
        <f t="shared" ref="K18:K19" si="0">J18+J18*$K$9</f>
        <v>636.98399999999992</v>
      </c>
      <c r="L18" s="138">
        <f>K18/$K$15</f>
        <v>3.55143343523843E-3</v>
      </c>
    </row>
    <row r="19" spans="1:12" s="127" customFormat="1" ht="15" customHeight="1">
      <c r="A19" s="132" t="s">
        <v>124</v>
      </c>
      <c r="B19" s="33" t="s">
        <v>62</v>
      </c>
      <c r="C19" s="33" t="s">
        <v>65</v>
      </c>
      <c r="D19" s="133" t="s">
        <v>66</v>
      </c>
      <c r="E19" s="132" t="s">
        <v>56</v>
      </c>
      <c r="F19" s="139">
        <f>(0.8+0.8+2.1)*2</f>
        <v>7.4</v>
      </c>
      <c r="G19" s="135">
        <v>0</v>
      </c>
      <c r="H19" s="135">
        <v>9.39</v>
      </c>
      <c r="I19" s="136">
        <f t="shared" ref="I19:I22" si="1">G19+H19</f>
        <v>9.39</v>
      </c>
      <c r="J19" s="137">
        <f t="shared" ref="J19" si="2">F19*I19</f>
        <v>69.486000000000004</v>
      </c>
      <c r="K19" s="136">
        <f t="shared" si="0"/>
        <v>83.383200000000002</v>
      </c>
      <c r="L19" s="138">
        <f t="shared" ref="L19" si="3">K19/$K$15</f>
        <v>4.6489375622805774E-4</v>
      </c>
    </row>
    <row r="20" spans="1:12" s="127" customFormat="1">
      <c r="A20" s="132" t="s">
        <v>125</v>
      </c>
      <c r="B20" s="33" t="s">
        <v>62</v>
      </c>
      <c r="C20" s="33" t="s">
        <v>95</v>
      </c>
      <c r="D20" s="133" t="s">
        <v>96</v>
      </c>
      <c r="E20" s="132" t="s">
        <v>57</v>
      </c>
      <c r="F20" s="139">
        <f>0.8*2.1*2</f>
        <v>3.3600000000000003</v>
      </c>
      <c r="G20" s="135">
        <v>0</v>
      </c>
      <c r="H20" s="135">
        <v>27.39</v>
      </c>
      <c r="I20" s="136">
        <f t="shared" si="1"/>
        <v>27.39</v>
      </c>
      <c r="J20" s="137">
        <f t="shared" ref="J20" si="4">F20*I20</f>
        <v>92.030400000000014</v>
      </c>
      <c r="K20" s="136">
        <f t="shared" ref="K20" si="5">J20+J20*$K$9</f>
        <v>110.43648000000002</v>
      </c>
      <c r="L20" s="138">
        <f t="shared" ref="L20" si="6">K20/$K$15</f>
        <v>6.1572630951804176E-4</v>
      </c>
    </row>
    <row r="21" spans="1:12" s="127" customFormat="1" ht="20.25" customHeight="1">
      <c r="A21" s="140" t="s">
        <v>126</v>
      </c>
      <c r="B21" s="33" t="s">
        <v>62</v>
      </c>
      <c r="C21" s="33" t="s">
        <v>133</v>
      </c>
      <c r="D21" s="133" t="s">
        <v>134</v>
      </c>
      <c r="E21" s="132" t="s">
        <v>55</v>
      </c>
      <c r="F21" s="141">
        <v>6</v>
      </c>
      <c r="G21" s="135">
        <v>1067.72</v>
      </c>
      <c r="H21" s="142">
        <v>54.77</v>
      </c>
      <c r="I21" s="136">
        <f t="shared" si="1"/>
        <v>1122.49</v>
      </c>
      <c r="J21" s="143">
        <f t="shared" ref="J21:J22" si="7">F21*I21</f>
        <v>6734.9400000000005</v>
      </c>
      <c r="K21" s="144">
        <f t="shared" ref="K21:K22" si="8">J21+J21*$K$9</f>
        <v>8081.9280000000008</v>
      </c>
      <c r="L21" s="138">
        <f t="shared" ref="L21:L22" si="9">K21/$K$15</f>
        <v>4.5059890547313061E-2</v>
      </c>
    </row>
    <row r="22" spans="1:12" s="127" customFormat="1">
      <c r="A22" s="140" t="s">
        <v>127</v>
      </c>
      <c r="B22" s="33" t="s">
        <v>62</v>
      </c>
      <c r="C22" s="145" t="s">
        <v>93</v>
      </c>
      <c r="D22" s="146" t="s">
        <v>94</v>
      </c>
      <c r="E22" s="132" t="s">
        <v>57</v>
      </c>
      <c r="F22" s="141">
        <f>0.85*2.1*2</f>
        <v>3.57</v>
      </c>
      <c r="G22" s="135">
        <v>971.31</v>
      </c>
      <c r="H22" s="142">
        <v>74.400000000000006</v>
      </c>
      <c r="I22" s="136">
        <f t="shared" si="1"/>
        <v>1045.71</v>
      </c>
      <c r="J22" s="143">
        <f t="shared" si="7"/>
        <v>3733.1846999999998</v>
      </c>
      <c r="K22" s="144">
        <f t="shared" si="8"/>
        <v>4479.8216400000001</v>
      </c>
      <c r="L22" s="138">
        <f t="shared" si="9"/>
        <v>2.4976747227874893E-2</v>
      </c>
    </row>
    <row r="23" spans="1:12" s="127" customFormat="1">
      <c r="A23" s="140" t="s">
        <v>294</v>
      </c>
      <c r="B23" s="33" t="s">
        <v>62</v>
      </c>
      <c r="C23" s="147" t="s">
        <v>228</v>
      </c>
      <c r="D23" s="133" t="s">
        <v>9</v>
      </c>
      <c r="E23" s="132" t="s">
        <v>57</v>
      </c>
      <c r="F23" s="134">
        <f>2.15*0.8*4</f>
        <v>6.88</v>
      </c>
      <c r="G23" s="135">
        <v>155.88</v>
      </c>
      <c r="H23" s="135">
        <v>18.739999999999998</v>
      </c>
      <c r="I23" s="136">
        <f t="shared" ref="I23:I24" si="10">G23+H23</f>
        <v>174.62</v>
      </c>
      <c r="J23" s="137">
        <f t="shared" ref="J23:J24" si="11">F23*I23</f>
        <v>1201.3856000000001</v>
      </c>
      <c r="K23" s="136">
        <f t="shared" ref="K23:K24" si="12">J23+J23*$K$9</f>
        <v>1441.66272</v>
      </c>
      <c r="L23" s="138">
        <f t="shared" ref="L23:L24" si="13">K23/$K$15</f>
        <v>8.0378301278286116E-3</v>
      </c>
    </row>
    <row r="24" spans="1:12" s="127" customFormat="1">
      <c r="A24" s="140" t="s">
        <v>295</v>
      </c>
      <c r="B24" s="33" t="s">
        <v>62</v>
      </c>
      <c r="C24" s="147" t="s">
        <v>135</v>
      </c>
      <c r="D24" s="133" t="s">
        <v>149</v>
      </c>
      <c r="E24" s="132" t="s">
        <v>57</v>
      </c>
      <c r="F24" s="134">
        <f>F23</f>
        <v>6.88</v>
      </c>
      <c r="G24" s="135">
        <v>839.88</v>
      </c>
      <c r="H24" s="135">
        <v>49.44</v>
      </c>
      <c r="I24" s="136">
        <f t="shared" si="10"/>
        <v>889.31999999999994</v>
      </c>
      <c r="J24" s="137">
        <f t="shared" si="11"/>
        <v>6118.5215999999991</v>
      </c>
      <c r="K24" s="136">
        <f t="shared" si="12"/>
        <v>7342.225919999999</v>
      </c>
      <c r="L24" s="138">
        <f t="shared" si="13"/>
        <v>4.0935763883177982E-2</v>
      </c>
    </row>
    <row r="25" spans="1:12" ht="7.5" customHeight="1">
      <c r="A25" s="33"/>
      <c r="B25" s="34"/>
      <c r="C25" s="34"/>
      <c r="D25" s="34"/>
      <c r="E25" s="34"/>
      <c r="F25" s="35"/>
      <c r="G25" s="35"/>
      <c r="H25" s="35"/>
      <c r="I25" s="35"/>
      <c r="J25" s="36"/>
      <c r="K25" s="35"/>
      <c r="L25" s="37"/>
    </row>
    <row r="26" spans="1:12" s="148" customFormat="1">
      <c r="A26" s="29">
        <v>2</v>
      </c>
      <c r="B26" s="196"/>
      <c r="C26" s="197"/>
      <c r="D26" s="198" t="s">
        <v>120</v>
      </c>
      <c r="E26" s="199"/>
      <c r="F26" s="199"/>
      <c r="G26" s="199"/>
      <c r="H26" s="199"/>
      <c r="I26" s="200"/>
      <c r="J26" s="30">
        <f>SUM(J27:J29)</f>
        <v>12913.690699999999</v>
      </c>
      <c r="K26" s="31">
        <f>SUM(K27:K29)</f>
        <v>15496.42884</v>
      </c>
      <c r="L26" s="32">
        <f>SUM(L27:L29)</f>
        <v>8.639861520724082E-2</v>
      </c>
    </row>
    <row r="27" spans="1:12" s="148" customFormat="1">
      <c r="A27" s="132" t="s">
        <v>128</v>
      </c>
      <c r="B27" s="33" t="s">
        <v>62</v>
      </c>
      <c r="C27" s="147" t="s">
        <v>143</v>
      </c>
      <c r="D27" s="133" t="s">
        <v>144</v>
      </c>
      <c r="E27" s="132" t="s">
        <v>57</v>
      </c>
      <c r="F27" s="134">
        <v>43.88</v>
      </c>
      <c r="G27" s="135">
        <v>24.62</v>
      </c>
      <c r="H27" s="136">
        <v>4.9800000000000004</v>
      </c>
      <c r="I27" s="136">
        <f>G27+H27</f>
        <v>29.6</v>
      </c>
      <c r="J27" s="137">
        <f>F27*I27</f>
        <v>1298.8480000000002</v>
      </c>
      <c r="K27" s="136">
        <f t="shared" ref="K27:K29" si="14">J27+J27*$K$9</f>
        <v>1558.6176000000003</v>
      </c>
      <c r="L27" s="138">
        <f>K27/$K$15</f>
        <v>8.6898990514535351E-3</v>
      </c>
    </row>
    <row r="28" spans="1:12" s="148" customFormat="1" ht="22.5">
      <c r="A28" s="132" t="s">
        <v>129</v>
      </c>
      <c r="B28" s="33" t="s">
        <v>62</v>
      </c>
      <c r="C28" s="147" t="s">
        <v>139</v>
      </c>
      <c r="D28" s="133" t="s">
        <v>140</v>
      </c>
      <c r="E28" s="132" t="s">
        <v>57</v>
      </c>
      <c r="F28" s="139">
        <f>F27</f>
        <v>43.88</v>
      </c>
      <c r="G28" s="135">
        <v>43.75</v>
      </c>
      <c r="H28" s="135">
        <v>15.65</v>
      </c>
      <c r="I28" s="136">
        <f t="shared" ref="I28:I29" si="15">G28+H28</f>
        <v>59.4</v>
      </c>
      <c r="J28" s="137">
        <f t="shared" ref="J28:J29" si="16">F28*I28</f>
        <v>2606.4720000000002</v>
      </c>
      <c r="K28" s="136">
        <f t="shared" si="14"/>
        <v>3127.7664000000004</v>
      </c>
      <c r="L28" s="138">
        <f t="shared" ref="L28:L29" si="17">K28/$K$15</f>
        <v>1.7438513637038515E-2</v>
      </c>
    </row>
    <row r="29" spans="1:12" s="148" customFormat="1">
      <c r="A29" s="132" t="s">
        <v>130</v>
      </c>
      <c r="B29" s="33" t="s">
        <v>62</v>
      </c>
      <c r="C29" s="147" t="s">
        <v>118</v>
      </c>
      <c r="D29" s="133" t="s">
        <v>119</v>
      </c>
      <c r="E29" s="132" t="s">
        <v>56</v>
      </c>
      <c r="F29" s="139">
        <f>(22.97+22.99+19.31+21.86)</f>
        <v>87.13</v>
      </c>
      <c r="G29" s="135">
        <v>55.69</v>
      </c>
      <c r="H29" s="135">
        <v>47.7</v>
      </c>
      <c r="I29" s="136">
        <f t="shared" si="15"/>
        <v>103.39</v>
      </c>
      <c r="J29" s="137">
        <f t="shared" si="16"/>
        <v>9008.3706999999995</v>
      </c>
      <c r="K29" s="136">
        <f t="shared" si="14"/>
        <v>10810.044839999999</v>
      </c>
      <c r="L29" s="138">
        <f t="shared" si="17"/>
        <v>6.0270202518748768E-2</v>
      </c>
    </row>
    <row r="30" spans="1:12" s="148" customFormat="1" ht="6.75" customHeight="1">
      <c r="A30" s="44"/>
      <c r="B30" s="75"/>
      <c r="C30" s="75"/>
      <c r="D30" s="75"/>
      <c r="E30" s="75"/>
      <c r="F30" s="76"/>
      <c r="G30" s="76"/>
      <c r="H30" s="76"/>
      <c r="I30" s="76"/>
      <c r="J30" s="77"/>
      <c r="K30" s="76"/>
      <c r="L30" s="78"/>
    </row>
    <row r="31" spans="1:12" s="148" customFormat="1">
      <c r="A31" s="29">
        <v>3</v>
      </c>
      <c r="B31" s="196"/>
      <c r="C31" s="197"/>
      <c r="D31" s="198" t="s">
        <v>121</v>
      </c>
      <c r="E31" s="199"/>
      <c r="F31" s="199"/>
      <c r="G31" s="199"/>
      <c r="H31" s="199"/>
      <c r="I31" s="200"/>
      <c r="J31" s="30">
        <f>SUM(J32:J34)</f>
        <v>2580.4408000000003</v>
      </c>
      <c r="K31" s="31">
        <f>SUM(K32:K34)</f>
        <v>3096.5289600000006</v>
      </c>
      <c r="L31" s="32">
        <f>SUM(L32:L34)</f>
        <v>1.7264352765105694E-2</v>
      </c>
    </row>
    <row r="32" spans="1:12" s="148" customFormat="1" ht="22.5">
      <c r="A32" s="132" t="s">
        <v>20</v>
      </c>
      <c r="B32" s="33" t="s">
        <v>62</v>
      </c>
      <c r="C32" s="147" t="s">
        <v>145</v>
      </c>
      <c r="D32" s="133" t="s">
        <v>146</v>
      </c>
      <c r="E32" s="132" t="s">
        <v>57</v>
      </c>
      <c r="F32" s="134">
        <f>F28</f>
        <v>43.88</v>
      </c>
      <c r="G32" s="135">
        <v>31.02</v>
      </c>
      <c r="H32" s="136">
        <v>13.33</v>
      </c>
      <c r="I32" s="136">
        <f>G32+H32</f>
        <v>44.35</v>
      </c>
      <c r="J32" s="137">
        <f>F32*I32</f>
        <v>1946.0780000000002</v>
      </c>
      <c r="K32" s="136">
        <f t="shared" ref="K32:K33" si="18">J32+J32*$K$9</f>
        <v>2335.2936000000004</v>
      </c>
      <c r="L32" s="138">
        <f>K32/$K$15</f>
        <v>1.3020169693647443E-2</v>
      </c>
    </row>
    <row r="33" spans="1:12" s="148" customFormat="1" ht="22.5">
      <c r="A33" s="132" t="s">
        <v>227</v>
      </c>
      <c r="B33" s="33" t="s">
        <v>62</v>
      </c>
      <c r="C33" s="147" t="s">
        <v>148</v>
      </c>
      <c r="D33" s="133" t="s">
        <v>147</v>
      </c>
      <c r="E33" s="132" t="s">
        <v>57</v>
      </c>
      <c r="F33" s="139">
        <f>F32</f>
        <v>43.88</v>
      </c>
      <c r="G33" s="135">
        <v>2.66</v>
      </c>
      <c r="H33" s="135">
        <v>8.9</v>
      </c>
      <c r="I33" s="136">
        <f>G33+H33</f>
        <v>11.56</v>
      </c>
      <c r="J33" s="137">
        <f>F33*I33</f>
        <v>507.25280000000004</v>
      </c>
      <c r="K33" s="136">
        <f t="shared" si="18"/>
        <v>608.70336000000009</v>
      </c>
      <c r="L33" s="138">
        <f>K33/$K$15</f>
        <v>3.3937578727973945E-3</v>
      </c>
    </row>
    <row r="34" spans="1:12" s="148" customFormat="1">
      <c r="A34" s="132" t="s">
        <v>327</v>
      </c>
      <c r="B34" s="33" t="s">
        <v>62</v>
      </c>
      <c r="C34" s="147" t="s">
        <v>324</v>
      </c>
      <c r="D34" s="133" t="s">
        <v>325</v>
      </c>
      <c r="E34" s="132" t="s">
        <v>56</v>
      </c>
      <c r="F34" s="139">
        <v>3</v>
      </c>
      <c r="G34" s="135">
        <v>36.31</v>
      </c>
      <c r="H34" s="135">
        <v>6.06</v>
      </c>
      <c r="I34" s="136">
        <f>G34+H34</f>
        <v>42.370000000000005</v>
      </c>
      <c r="J34" s="137">
        <f>F34*I34</f>
        <v>127.11000000000001</v>
      </c>
      <c r="K34" s="136">
        <f t="shared" ref="K34" si="19">J34+J34*$K$9</f>
        <v>152.53200000000001</v>
      </c>
      <c r="L34" s="138">
        <f>K34/$K$15</f>
        <v>8.5042519866085852E-4</v>
      </c>
    </row>
    <row r="35" spans="1:12" s="148" customFormat="1" ht="6" customHeight="1">
      <c r="A35" s="44"/>
      <c r="B35" s="75"/>
      <c r="C35" s="75"/>
      <c r="D35" s="75"/>
      <c r="E35" s="75"/>
      <c r="F35" s="76"/>
      <c r="G35" s="76" t="s">
        <v>326</v>
      </c>
      <c r="H35" s="76"/>
      <c r="I35" s="76"/>
      <c r="J35" s="77"/>
      <c r="K35" s="76"/>
      <c r="L35" s="78"/>
    </row>
    <row r="36" spans="1:12" s="148" customFormat="1">
      <c r="A36" s="38">
        <v>4</v>
      </c>
      <c r="B36" s="38"/>
      <c r="C36" s="39"/>
      <c r="D36" s="40" t="s">
        <v>10</v>
      </c>
      <c r="E36" s="39"/>
      <c r="F36" s="41"/>
      <c r="G36" s="41"/>
      <c r="H36" s="41"/>
      <c r="I36" s="42"/>
      <c r="J36" s="43">
        <f>SUM(J37:J48)</f>
        <v>6137.9815425000006</v>
      </c>
      <c r="K36" s="31">
        <f>SUM(K37:K48)</f>
        <v>7365.577851</v>
      </c>
      <c r="L36" s="32">
        <f>SUM(L37:L48)</f>
        <v>4.1065959976848747E-2</v>
      </c>
    </row>
    <row r="37" spans="1:12" s="148" customFormat="1">
      <c r="A37" s="132" t="s">
        <v>30</v>
      </c>
      <c r="B37" s="132" t="s">
        <v>62</v>
      </c>
      <c r="C37" s="44" t="s">
        <v>69</v>
      </c>
      <c r="D37" s="133" t="s">
        <v>70</v>
      </c>
      <c r="E37" s="132" t="s">
        <v>55</v>
      </c>
      <c r="F37" s="149">
        <v>2</v>
      </c>
      <c r="G37" s="135">
        <v>59.52</v>
      </c>
      <c r="H37" s="135">
        <v>3</v>
      </c>
      <c r="I37" s="136">
        <f>G37+H37</f>
        <v>62.52</v>
      </c>
      <c r="J37" s="150">
        <f>F37*I37</f>
        <v>125.04</v>
      </c>
      <c r="K37" s="136">
        <f>J37+J37*$K$9</f>
        <v>150.048</v>
      </c>
      <c r="L37" s="138">
        <f>K37/$K$15</f>
        <v>8.365759329757985E-4</v>
      </c>
    </row>
    <row r="38" spans="1:12" s="148" customFormat="1">
      <c r="A38" s="132" t="s">
        <v>33</v>
      </c>
      <c r="B38" s="132" t="s">
        <v>62</v>
      </c>
      <c r="C38" s="33" t="s">
        <v>11</v>
      </c>
      <c r="D38" s="133" t="s">
        <v>12</v>
      </c>
      <c r="E38" s="132" t="s">
        <v>55</v>
      </c>
      <c r="F38" s="149">
        <v>3</v>
      </c>
      <c r="G38" s="135">
        <v>0</v>
      </c>
      <c r="H38" s="135">
        <v>38.6</v>
      </c>
      <c r="I38" s="136">
        <f t="shared" ref="I38:I44" si="20">G38+H38</f>
        <v>38.6</v>
      </c>
      <c r="J38" s="150">
        <f t="shared" ref="J38:J44" si="21">F38*I38</f>
        <v>115.80000000000001</v>
      </c>
      <c r="K38" s="136">
        <f t="shared" ref="K38:K44" si="22">J38+J38*$K$9</f>
        <v>138.96</v>
      </c>
      <c r="L38" s="138">
        <f t="shared" ref="L38:L44" si="23">K38/$K$15</f>
        <v>7.7475602238161764E-4</v>
      </c>
    </row>
    <row r="39" spans="1:12" s="148" customFormat="1">
      <c r="A39" s="132" t="s">
        <v>84</v>
      </c>
      <c r="B39" s="132" t="s">
        <v>62</v>
      </c>
      <c r="C39" s="33" t="s">
        <v>13</v>
      </c>
      <c r="D39" s="133" t="s">
        <v>14</v>
      </c>
      <c r="E39" s="132" t="s">
        <v>58</v>
      </c>
      <c r="F39" s="149">
        <v>4</v>
      </c>
      <c r="G39" s="135">
        <v>684.55</v>
      </c>
      <c r="H39" s="135">
        <v>52.19</v>
      </c>
      <c r="I39" s="136">
        <f t="shared" si="20"/>
        <v>736.74</v>
      </c>
      <c r="J39" s="150">
        <f t="shared" si="21"/>
        <v>2946.96</v>
      </c>
      <c r="K39" s="136">
        <f t="shared" si="22"/>
        <v>3536.3519999999999</v>
      </c>
      <c r="L39" s="138">
        <f t="shared" si="23"/>
        <v>1.9716537199634988E-2</v>
      </c>
    </row>
    <row r="40" spans="1:12" s="148" customFormat="1" ht="22.5">
      <c r="A40" s="132" t="s">
        <v>110</v>
      </c>
      <c r="B40" s="132" t="s">
        <v>62</v>
      </c>
      <c r="C40" s="33" t="s">
        <v>77</v>
      </c>
      <c r="D40" s="133" t="s">
        <v>78</v>
      </c>
      <c r="E40" s="132" t="s">
        <v>55</v>
      </c>
      <c r="F40" s="149">
        <v>1</v>
      </c>
      <c r="G40" s="135">
        <v>1165.06</v>
      </c>
      <c r="H40" s="135">
        <v>52.19</v>
      </c>
      <c r="I40" s="136">
        <f t="shared" si="20"/>
        <v>1217.25</v>
      </c>
      <c r="J40" s="150">
        <f t="shared" si="21"/>
        <v>1217.25</v>
      </c>
      <c r="K40" s="136">
        <f t="shared" si="22"/>
        <v>1460.7</v>
      </c>
      <c r="L40" s="138">
        <f t="shared" si="23"/>
        <v>8.1439703648015904E-3</v>
      </c>
    </row>
    <row r="41" spans="1:12" s="148" customFormat="1">
      <c r="A41" s="132" t="s">
        <v>230</v>
      </c>
      <c r="B41" s="132" t="s">
        <v>62</v>
      </c>
      <c r="C41" s="33" t="s">
        <v>15</v>
      </c>
      <c r="D41" s="133" t="s">
        <v>16</v>
      </c>
      <c r="E41" s="132" t="s">
        <v>55</v>
      </c>
      <c r="F41" s="149">
        <v>5</v>
      </c>
      <c r="G41" s="135">
        <v>41.27</v>
      </c>
      <c r="H41" s="135">
        <v>2.65</v>
      </c>
      <c r="I41" s="136">
        <f t="shared" si="20"/>
        <v>43.92</v>
      </c>
      <c r="J41" s="150">
        <f t="shared" si="21"/>
        <v>219.60000000000002</v>
      </c>
      <c r="K41" s="136">
        <f t="shared" si="22"/>
        <v>263.52000000000004</v>
      </c>
      <c r="L41" s="138">
        <f t="shared" si="23"/>
        <v>1.4692264465889745E-3</v>
      </c>
    </row>
    <row r="42" spans="1:12" s="148" customFormat="1">
      <c r="A42" s="132" t="s">
        <v>111</v>
      </c>
      <c r="B42" s="132" t="s">
        <v>62</v>
      </c>
      <c r="C42" s="33" t="s">
        <v>71</v>
      </c>
      <c r="D42" s="151" t="s">
        <v>296</v>
      </c>
      <c r="E42" s="132" t="s">
        <v>55</v>
      </c>
      <c r="F42" s="149">
        <v>6</v>
      </c>
      <c r="G42" s="135">
        <v>53.56</v>
      </c>
      <c r="H42" s="135">
        <v>15.25</v>
      </c>
      <c r="I42" s="136">
        <f t="shared" si="20"/>
        <v>68.81</v>
      </c>
      <c r="J42" s="150">
        <f t="shared" si="21"/>
        <v>412.86</v>
      </c>
      <c r="K42" s="136">
        <f t="shared" si="22"/>
        <v>495.43200000000002</v>
      </c>
      <c r="L42" s="138">
        <f t="shared" si="23"/>
        <v>2.7622260051854463E-3</v>
      </c>
    </row>
    <row r="43" spans="1:12" s="148" customFormat="1" ht="22.5">
      <c r="A43" s="132" t="s">
        <v>232</v>
      </c>
      <c r="B43" s="132" t="s">
        <v>62</v>
      </c>
      <c r="C43" s="152" t="s">
        <v>17</v>
      </c>
      <c r="D43" s="146" t="s">
        <v>18</v>
      </c>
      <c r="E43" s="132" t="s">
        <v>55</v>
      </c>
      <c r="F43" s="141">
        <v>1</v>
      </c>
      <c r="G43" s="142">
        <v>193.64</v>
      </c>
      <c r="H43" s="142">
        <v>16.54</v>
      </c>
      <c r="I43" s="136">
        <f t="shared" si="20"/>
        <v>210.17999999999998</v>
      </c>
      <c r="J43" s="150">
        <f t="shared" si="21"/>
        <v>210.17999999999998</v>
      </c>
      <c r="K43" s="136">
        <f t="shared" si="22"/>
        <v>252.21599999999998</v>
      </c>
      <c r="L43" s="138">
        <f t="shared" si="23"/>
        <v>1.4062022520221794E-3</v>
      </c>
    </row>
    <row r="44" spans="1:12" s="148" customFormat="1" ht="11.25" customHeight="1">
      <c r="A44" s="132" t="s">
        <v>229</v>
      </c>
      <c r="B44" s="132" t="s">
        <v>62</v>
      </c>
      <c r="C44" s="152" t="s">
        <v>79</v>
      </c>
      <c r="D44" s="146" t="s">
        <v>80</v>
      </c>
      <c r="E44" s="132" t="s">
        <v>55</v>
      </c>
      <c r="F44" s="58">
        <v>7</v>
      </c>
      <c r="G44" s="142">
        <v>9.64</v>
      </c>
      <c r="H44" s="142">
        <v>17.350000000000001</v>
      </c>
      <c r="I44" s="136">
        <f t="shared" si="20"/>
        <v>26.990000000000002</v>
      </c>
      <c r="J44" s="150">
        <f t="shared" si="21"/>
        <v>188.93</v>
      </c>
      <c r="K44" s="136">
        <f t="shared" si="22"/>
        <v>226.71600000000001</v>
      </c>
      <c r="L44" s="138">
        <f t="shared" si="23"/>
        <v>1.2640298385885925E-3</v>
      </c>
    </row>
    <row r="45" spans="1:12" s="148" customFormat="1">
      <c r="A45" s="132" t="s">
        <v>233</v>
      </c>
      <c r="B45" s="132" t="s">
        <v>62</v>
      </c>
      <c r="C45" s="153" t="s">
        <v>88</v>
      </c>
      <c r="D45" s="153" t="s">
        <v>87</v>
      </c>
      <c r="E45" s="132" t="s">
        <v>57</v>
      </c>
      <c r="F45" s="134">
        <f>0.465*0.165*2</f>
        <v>0.15345</v>
      </c>
      <c r="G45" s="135">
        <v>1056.27</v>
      </c>
      <c r="H45" s="135">
        <v>28.38</v>
      </c>
      <c r="I45" s="136">
        <f>G45+H45</f>
        <v>1084.6500000000001</v>
      </c>
      <c r="J45" s="150">
        <f>F45*I45</f>
        <v>166.43954250000002</v>
      </c>
      <c r="K45" s="136">
        <f>J45+J45*$K$9</f>
        <v>199.72745100000003</v>
      </c>
      <c r="L45" s="138">
        <f>K45/$K$15</f>
        <v>1.1135581857885683E-3</v>
      </c>
    </row>
    <row r="46" spans="1:12" s="148" customFormat="1">
      <c r="A46" s="132" t="s">
        <v>234</v>
      </c>
      <c r="B46" s="132" t="s">
        <v>62</v>
      </c>
      <c r="C46" s="153" t="s">
        <v>122</v>
      </c>
      <c r="D46" s="153" t="s">
        <v>123</v>
      </c>
      <c r="E46" s="132" t="s">
        <v>55</v>
      </c>
      <c r="F46" s="134">
        <v>5</v>
      </c>
      <c r="G46" s="135">
        <v>35.33</v>
      </c>
      <c r="H46" s="135">
        <v>43.37</v>
      </c>
      <c r="I46" s="136">
        <f>G46+H46</f>
        <v>78.699999999999989</v>
      </c>
      <c r="J46" s="150">
        <f>F46*I46</f>
        <v>393.49999999999994</v>
      </c>
      <c r="K46" s="136">
        <f>J46+J46*$K$9</f>
        <v>472.19999999999993</v>
      </c>
      <c r="L46" s="138">
        <f>K46/$K$15</f>
        <v>2.6326985734643048E-3</v>
      </c>
    </row>
    <row r="47" spans="1:12" s="148" customFormat="1" ht="15" customHeight="1">
      <c r="A47" s="132"/>
      <c r="B47" s="132"/>
      <c r="C47" s="152"/>
      <c r="D47" s="27" t="s">
        <v>89</v>
      </c>
      <c r="E47" s="132"/>
      <c r="F47" s="134"/>
      <c r="G47" s="135"/>
      <c r="H47" s="135"/>
      <c r="I47" s="136"/>
      <c r="J47" s="150"/>
      <c r="K47" s="136"/>
      <c r="L47" s="138"/>
    </row>
    <row r="48" spans="1:12" s="148" customFormat="1" ht="33.75">
      <c r="A48" s="132" t="s">
        <v>235</v>
      </c>
      <c r="B48" s="132" t="s">
        <v>91</v>
      </c>
      <c r="C48" s="132">
        <v>89578</v>
      </c>
      <c r="D48" s="153" t="s">
        <v>90</v>
      </c>
      <c r="E48" s="132" t="s">
        <v>56</v>
      </c>
      <c r="F48" s="134">
        <f>2*3.1</f>
        <v>6.2</v>
      </c>
      <c r="G48" s="135">
        <v>0</v>
      </c>
      <c r="H48" s="135">
        <v>0</v>
      </c>
      <c r="I48" s="136">
        <v>22.81</v>
      </c>
      <c r="J48" s="150">
        <f t="shared" ref="J48" si="24">F48*I48</f>
        <v>141.422</v>
      </c>
      <c r="K48" s="136">
        <f t="shared" ref="K48" si="25">J48+J48*$K$9</f>
        <v>169.7064</v>
      </c>
      <c r="L48" s="138">
        <f t="shared" ref="L48" si="26">K48/$K$15</f>
        <v>9.4617915541669374E-4</v>
      </c>
    </row>
    <row r="49" spans="1:18" s="148" customFormat="1" ht="3.75" customHeight="1">
      <c r="A49" s="154"/>
    </row>
    <row r="50" spans="1:18" s="148" customFormat="1" ht="24" customHeight="1">
      <c r="A50" s="126">
        <v>5</v>
      </c>
      <c r="B50" s="128"/>
      <c r="C50" s="129"/>
      <c r="D50" s="53" t="s">
        <v>19</v>
      </c>
      <c r="E50" s="52"/>
      <c r="F50" s="54"/>
      <c r="G50" s="54"/>
      <c r="H50" s="54"/>
      <c r="I50" s="55"/>
      <c r="J50" s="130">
        <f>SUM(J51:J64)</f>
        <v>7143.3038999999999</v>
      </c>
      <c r="K50" s="73">
        <f>SUM(K51:K64)</f>
        <v>8571.964680000001</v>
      </c>
      <c r="L50" s="74">
        <f>SUM(L51:L64)</f>
        <v>4.7792035546002566E-2</v>
      </c>
    </row>
    <row r="51" spans="1:18" s="148" customFormat="1" ht="15" customHeight="1">
      <c r="A51" s="132" t="s">
        <v>36</v>
      </c>
      <c r="B51" s="44" t="s">
        <v>62</v>
      </c>
      <c r="C51" s="44" t="s">
        <v>74</v>
      </c>
      <c r="D51" s="155" t="s">
        <v>75</v>
      </c>
      <c r="E51" s="132" t="s">
        <v>55</v>
      </c>
      <c r="F51" s="156">
        <v>1</v>
      </c>
      <c r="G51" s="157">
        <v>0</v>
      </c>
      <c r="H51" s="157">
        <v>216.85</v>
      </c>
      <c r="I51" s="158">
        <f>G51+H51</f>
        <v>216.85</v>
      </c>
      <c r="J51" s="137">
        <f>F51*I51</f>
        <v>216.85</v>
      </c>
      <c r="K51" s="144">
        <f t="shared" ref="K51:K63" si="27">J51+J51*$K$9</f>
        <v>260.22000000000003</v>
      </c>
      <c r="L51" s="138">
        <f t="shared" ref="L51" si="28">K51/$K$15</f>
        <v>1.4508276636740398E-3</v>
      </c>
    </row>
    <row r="52" spans="1:18" s="148" customFormat="1" ht="22.5">
      <c r="A52" s="132" t="s">
        <v>236</v>
      </c>
      <c r="B52" s="44" t="s">
        <v>195</v>
      </c>
      <c r="C52" s="44" t="s">
        <v>222</v>
      </c>
      <c r="D52" s="155" t="s">
        <v>223</v>
      </c>
      <c r="E52" s="132" t="s">
        <v>55</v>
      </c>
      <c r="F52" s="156">
        <v>1</v>
      </c>
      <c r="G52" s="157">
        <v>0</v>
      </c>
      <c r="H52" s="157">
        <v>2839.22</v>
      </c>
      <c r="I52" s="158">
        <f>(G52+H52)-(H52*0.23)</f>
        <v>2186.1994</v>
      </c>
      <c r="J52" s="137">
        <f>F52*I52</f>
        <v>2186.1994</v>
      </c>
      <c r="K52" s="144">
        <f t="shared" si="27"/>
        <v>2623.4392800000001</v>
      </c>
      <c r="L52" s="138">
        <f t="shared" ref="L52" si="29">K52/$K$15</f>
        <v>1.4626693879767522E-2</v>
      </c>
    </row>
    <row r="53" spans="1:18" s="167" customFormat="1" ht="22.5">
      <c r="A53" s="132" t="s">
        <v>299</v>
      </c>
      <c r="B53" s="132" t="s">
        <v>62</v>
      </c>
      <c r="C53" s="159" t="s">
        <v>21</v>
      </c>
      <c r="D53" s="160" t="s">
        <v>22</v>
      </c>
      <c r="E53" s="161" t="s">
        <v>55</v>
      </c>
      <c r="F53" s="162">
        <v>1</v>
      </c>
      <c r="G53" s="163">
        <v>526</v>
      </c>
      <c r="H53" s="163">
        <v>129.69999999999999</v>
      </c>
      <c r="I53" s="162">
        <f t="shared" ref="I53:I62" si="30">G53+H53</f>
        <v>655.7</v>
      </c>
      <c r="J53" s="164">
        <f t="shared" ref="J53:J63" si="31">F53*I53</f>
        <v>655.7</v>
      </c>
      <c r="K53" s="165">
        <f t="shared" si="27"/>
        <v>786.84</v>
      </c>
      <c r="L53" s="166">
        <f t="shared" ref="L53:L63" si="32">K53/$K$15</f>
        <v>4.3869388935719057E-3</v>
      </c>
    </row>
    <row r="54" spans="1:18" s="148" customFormat="1">
      <c r="A54" s="132" t="s">
        <v>237</v>
      </c>
      <c r="B54" s="132" t="s">
        <v>62</v>
      </c>
      <c r="C54" s="33" t="s">
        <v>23</v>
      </c>
      <c r="D54" s="168" t="s">
        <v>166</v>
      </c>
      <c r="E54" s="132" t="s">
        <v>55</v>
      </c>
      <c r="F54" s="149">
        <v>9.41</v>
      </c>
      <c r="G54" s="135">
        <v>13.01</v>
      </c>
      <c r="H54" s="135">
        <v>12.44</v>
      </c>
      <c r="I54" s="136">
        <f t="shared" si="30"/>
        <v>25.45</v>
      </c>
      <c r="J54" s="137">
        <f t="shared" si="31"/>
        <v>239.4845</v>
      </c>
      <c r="K54" s="144">
        <f t="shared" si="27"/>
        <v>287.38139999999999</v>
      </c>
      <c r="L54" s="138">
        <f t="shared" si="32"/>
        <v>1.6022630279969817E-3</v>
      </c>
      <c r="N54" s="148" t="s">
        <v>167</v>
      </c>
    </row>
    <row r="55" spans="1:18" s="148" customFormat="1" ht="22.5">
      <c r="A55" s="132" t="s">
        <v>238</v>
      </c>
      <c r="B55" s="132" t="s">
        <v>62</v>
      </c>
      <c r="C55" s="33" t="s">
        <v>24</v>
      </c>
      <c r="D55" s="168" t="s">
        <v>165</v>
      </c>
      <c r="E55" s="132" t="s">
        <v>56</v>
      </c>
      <c r="F55" s="149">
        <f>4*3*2</f>
        <v>24</v>
      </c>
      <c r="G55" s="135">
        <v>2.44</v>
      </c>
      <c r="H55" s="135">
        <v>2.17</v>
      </c>
      <c r="I55" s="136">
        <f t="shared" si="30"/>
        <v>4.6099999999999994</v>
      </c>
      <c r="J55" s="137">
        <f t="shared" si="31"/>
        <v>110.63999999999999</v>
      </c>
      <c r="K55" s="144">
        <f t="shared" si="27"/>
        <v>132.76799999999997</v>
      </c>
      <c r="L55" s="138">
        <f t="shared" si="32"/>
        <v>7.4023321516668533E-4</v>
      </c>
      <c r="N55" s="148" t="s">
        <v>196</v>
      </c>
    </row>
    <row r="56" spans="1:18" s="148" customFormat="1" ht="22.5">
      <c r="A56" s="132" t="s">
        <v>239</v>
      </c>
      <c r="B56" s="132" t="s">
        <v>62</v>
      </c>
      <c r="C56" s="33" t="s">
        <v>25</v>
      </c>
      <c r="D56" s="168" t="s">
        <v>164</v>
      </c>
      <c r="E56" s="132" t="s">
        <v>56</v>
      </c>
      <c r="F56" s="149">
        <v>3</v>
      </c>
      <c r="G56" s="135">
        <v>3.77</v>
      </c>
      <c r="H56" s="135">
        <v>2.6</v>
      </c>
      <c r="I56" s="136">
        <f t="shared" si="30"/>
        <v>6.37</v>
      </c>
      <c r="J56" s="137">
        <f t="shared" si="31"/>
        <v>19.11</v>
      </c>
      <c r="K56" s="144">
        <f t="shared" si="27"/>
        <v>22.931999999999999</v>
      </c>
      <c r="L56" s="138">
        <f t="shared" si="32"/>
        <v>1.2785481509251047E-4</v>
      </c>
      <c r="N56" s="148" t="s">
        <v>265</v>
      </c>
    </row>
    <row r="57" spans="1:18" s="148" customFormat="1" ht="22.5">
      <c r="A57" s="132" t="s">
        <v>240</v>
      </c>
      <c r="B57" s="132" t="s">
        <v>62</v>
      </c>
      <c r="C57" s="33" t="s">
        <v>26</v>
      </c>
      <c r="D57" s="168" t="s">
        <v>163</v>
      </c>
      <c r="E57" s="132" t="s">
        <v>56</v>
      </c>
      <c r="F57" s="149">
        <f>2*2*2</f>
        <v>8</v>
      </c>
      <c r="G57" s="135">
        <v>5.22</v>
      </c>
      <c r="H57" s="135">
        <v>3.03</v>
      </c>
      <c r="I57" s="136">
        <f t="shared" si="30"/>
        <v>8.25</v>
      </c>
      <c r="J57" s="137">
        <f t="shared" si="31"/>
        <v>66</v>
      </c>
      <c r="K57" s="144">
        <f t="shared" si="27"/>
        <v>79.2</v>
      </c>
      <c r="L57" s="138">
        <f t="shared" si="32"/>
        <v>4.4157078995843494E-4</v>
      </c>
      <c r="N57" s="148" t="s">
        <v>197</v>
      </c>
    </row>
    <row r="58" spans="1:18" s="148" customFormat="1">
      <c r="A58" s="132" t="s">
        <v>241</v>
      </c>
      <c r="B58" s="132" t="s">
        <v>62</v>
      </c>
      <c r="C58" s="33" t="s">
        <v>203</v>
      </c>
      <c r="D58" s="168" t="s">
        <v>204</v>
      </c>
      <c r="E58" s="132" t="s">
        <v>56</v>
      </c>
      <c r="F58" s="149">
        <f>4*4*2</f>
        <v>32</v>
      </c>
      <c r="G58" s="135">
        <v>8.17</v>
      </c>
      <c r="H58" s="135">
        <v>3.47</v>
      </c>
      <c r="I58" s="136">
        <f t="shared" ref="I58" si="33">G58+H58</f>
        <v>11.64</v>
      </c>
      <c r="J58" s="137">
        <f t="shared" ref="J58" si="34">F58*I58</f>
        <v>372.48</v>
      </c>
      <c r="K58" s="144">
        <f t="shared" ref="K58" si="35">J58+J58*$K$9</f>
        <v>446.976</v>
      </c>
      <c r="L58" s="138">
        <f t="shared" ref="L58" si="36">K58/$K$15</f>
        <v>2.492064967329058E-3</v>
      </c>
      <c r="N58" s="148" t="s">
        <v>205</v>
      </c>
    </row>
    <row r="59" spans="1:18" s="148" customFormat="1">
      <c r="A59" s="132" t="s">
        <v>242</v>
      </c>
      <c r="B59" s="132" t="s">
        <v>62</v>
      </c>
      <c r="C59" s="132" t="s">
        <v>27</v>
      </c>
      <c r="D59" s="155" t="s">
        <v>28</v>
      </c>
      <c r="E59" s="132" t="s">
        <v>55</v>
      </c>
      <c r="F59" s="149">
        <v>1</v>
      </c>
      <c r="G59" s="135">
        <v>20</v>
      </c>
      <c r="H59" s="135">
        <v>13.01</v>
      </c>
      <c r="I59" s="136">
        <f t="shared" ref="I59" si="37">G59+H59</f>
        <v>33.01</v>
      </c>
      <c r="J59" s="137">
        <f t="shared" ref="J59" si="38">F59*I59</f>
        <v>33.01</v>
      </c>
      <c r="K59" s="144">
        <f t="shared" ref="K59" si="39">J59+J59*$K$9</f>
        <v>39.611999999999995</v>
      </c>
      <c r="L59" s="138">
        <f t="shared" ref="L59" si="40">K59/$K$15</f>
        <v>2.2085229964436263E-4</v>
      </c>
      <c r="N59" s="148" t="s">
        <v>199</v>
      </c>
    </row>
    <row r="60" spans="1:18" s="148" customFormat="1">
      <c r="A60" s="132" t="s">
        <v>243</v>
      </c>
      <c r="B60" s="132" t="s">
        <v>62</v>
      </c>
      <c r="C60" s="132" t="s">
        <v>131</v>
      </c>
      <c r="D60" s="155" t="s">
        <v>132</v>
      </c>
      <c r="E60" s="132" t="s">
        <v>58</v>
      </c>
      <c r="F60" s="149">
        <v>3</v>
      </c>
      <c r="G60" s="135">
        <v>8.7799999999999994</v>
      </c>
      <c r="H60" s="135">
        <v>14.75</v>
      </c>
      <c r="I60" s="136">
        <f t="shared" si="30"/>
        <v>23.53</v>
      </c>
      <c r="J60" s="137">
        <f t="shared" si="31"/>
        <v>70.59</v>
      </c>
      <c r="K60" s="144">
        <f t="shared" si="27"/>
        <v>84.707999999999998</v>
      </c>
      <c r="L60" s="138">
        <f t="shared" si="32"/>
        <v>4.7228003126008968E-4</v>
      </c>
      <c r="N60" s="148" t="s">
        <v>198</v>
      </c>
    </row>
    <row r="61" spans="1:18" s="148" customFormat="1" ht="22.5">
      <c r="A61" s="132" t="s">
        <v>244</v>
      </c>
      <c r="B61" s="161" t="s">
        <v>62</v>
      </c>
      <c r="C61" s="161" t="s">
        <v>301</v>
      </c>
      <c r="D61" s="169" t="s">
        <v>168</v>
      </c>
      <c r="E61" s="161" t="s">
        <v>55</v>
      </c>
      <c r="F61" s="165">
        <v>4</v>
      </c>
      <c r="G61" s="163">
        <v>303.94</v>
      </c>
      <c r="H61" s="163">
        <v>17.350000000000001</v>
      </c>
      <c r="I61" s="162">
        <f t="shared" si="30"/>
        <v>321.29000000000002</v>
      </c>
      <c r="J61" s="137">
        <f t="shared" si="31"/>
        <v>1285.1600000000001</v>
      </c>
      <c r="K61" s="144">
        <f t="shared" si="27"/>
        <v>1542.192</v>
      </c>
      <c r="L61" s="138">
        <f t="shared" si="32"/>
        <v>8.5983199458027609E-3</v>
      </c>
      <c r="N61" s="148" t="s">
        <v>200</v>
      </c>
    </row>
    <row r="62" spans="1:18" s="148" customFormat="1" ht="22.5">
      <c r="A62" s="132" t="s">
        <v>245</v>
      </c>
      <c r="B62" s="132" t="s">
        <v>62</v>
      </c>
      <c r="C62" s="132" t="s">
        <v>201</v>
      </c>
      <c r="D62" s="155" t="s">
        <v>202</v>
      </c>
      <c r="E62" s="132" t="s">
        <v>55</v>
      </c>
      <c r="F62" s="170">
        <v>8</v>
      </c>
      <c r="G62" s="135">
        <v>100.79</v>
      </c>
      <c r="H62" s="135">
        <v>8.68</v>
      </c>
      <c r="I62" s="136">
        <f t="shared" si="30"/>
        <v>109.47</v>
      </c>
      <c r="J62" s="137">
        <f t="shared" si="31"/>
        <v>875.76</v>
      </c>
      <c r="K62" s="144">
        <f t="shared" si="27"/>
        <v>1050.912</v>
      </c>
      <c r="L62" s="138">
        <f t="shared" si="32"/>
        <v>5.8592429547575601E-3</v>
      </c>
    </row>
    <row r="63" spans="1:18" s="127" customFormat="1">
      <c r="A63" s="132" t="s">
        <v>246</v>
      </c>
      <c r="B63" s="132" t="s">
        <v>195</v>
      </c>
      <c r="C63" s="132" t="s">
        <v>302</v>
      </c>
      <c r="D63" s="155" t="s">
        <v>224</v>
      </c>
      <c r="E63" s="132" t="s">
        <v>55</v>
      </c>
      <c r="F63" s="170">
        <v>8</v>
      </c>
      <c r="G63" s="135">
        <v>0</v>
      </c>
      <c r="H63" s="135">
        <v>96.8</v>
      </c>
      <c r="I63" s="136">
        <f t="shared" ref="I63:I64" si="41">G63+H63</f>
        <v>96.8</v>
      </c>
      <c r="J63" s="137">
        <f t="shared" si="31"/>
        <v>774.4</v>
      </c>
      <c r="K63" s="144">
        <f t="shared" si="27"/>
        <v>929.28</v>
      </c>
      <c r="L63" s="138">
        <f t="shared" si="32"/>
        <v>5.1810972688456358E-3</v>
      </c>
      <c r="M63" s="148"/>
      <c r="N63" s="148"/>
      <c r="O63" s="148"/>
      <c r="P63" s="148"/>
      <c r="Q63" s="148"/>
      <c r="R63" s="148"/>
    </row>
    <row r="64" spans="1:18" s="148" customFormat="1">
      <c r="A64" s="132" t="s">
        <v>247</v>
      </c>
      <c r="B64" s="132" t="s">
        <v>62</v>
      </c>
      <c r="C64" s="132" t="s">
        <v>225</v>
      </c>
      <c r="D64" s="155" t="s">
        <v>226</v>
      </c>
      <c r="E64" s="132" t="s">
        <v>55</v>
      </c>
      <c r="F64" s="170">
        <v>2</v>
      </c>
      <c r="G64" s="135">
        <v>84.4</v>
      </c>
      <c r="H64" s="135">
        <v>34.56</v>
      </c>
      <c r="I64" s="136">
        <f>G64+H64</f>
        <v>118.96000000000001</v>
      </c>
      <c r="J64" s="137">
        <f t="shared" ref="J64" si="42">F64*I64</f>
        <v>237.92000000000002</v>
      </c>
      <c r="K64" s="144">
        <f t="shared" ref="K64" si="43">J64+J64*$K$9</f>
        <v>285.50400000000002</v>
      </c>
      <c r="L64" s="138">
        <f t="shared" ref="L64" si="44">K64/$K$15</f>
        <v>1.5917957931350128E-3</v>
      </c>
    </row>
    <row r="65" spans="1:14" s="148" customFormat="1" ht="5.25" customHeight="1">
      <c r="A65" s="45"/>
      <c r="B65" s="46"/>
      <c r="C65" s="46"/>
      <c r="D65" s="47"/>
      <c r="E65" s="46"/>
      <c r="F65" s="48"/>
      <c r="G65" s="48"/>
      <c r="H65" s="48"/>
      <c r="I65" s="48"/>
      <c r="J65" s="49"/>
      <c r="K65" s="50"/>
      <c r="L65" s="51"/>
    </row>
    <row r="66" spans="1:14" s="148" customFormat="1">
      <c r="A66" s="38">
        <v>6</v>
      </c>
      <c r="B66" s="126"/>
      <c r="C66" s="52"/>
      <c r="D66" s="53" t="s">
        <v>29</v>
      </c>
      <c r="E66" s="52"/>
      <c r="F66" s="54"/>
      <c r="G66" s="54"/>
      <c r="H66" s="54"/>
      <c r="I66" s="55" t="s">
        <v>102</v>
      </c>
      <c r="J66" s="43">
        <f>SUM(J67:J72)</f>
        <v>24064.492970000007</v>
      </c>
      <c r="K66" s="31">
        <f>SUM(K67:K72)</f>
        <v>28877.391564000005</v>
      </c>
      <c r="L66" s="32">
        <f>SUM(L67:L72)</f>
        <v>0.16100268440472887</v>
      </c>
    </row>
    <row r="67" spans="1:14" s="148" customFormat="1">
      <c r="A67" s="132" t="s">
        <v>267</v>
      </c>
      <c r="B67" s="44" t="s">
        <v>62</v>
      </c>
      <c r="C67" s="44" t="s">
        <v>31</v>
      </c>
      <c r="D67" s="155" t="s">
        <v>32</v>
      </c>
      <c r="E67" s="132" t="s">
        <v>57</v>
      </c>
      <c r="F67" s="171">
        <f>'MEMÓRIA DE CÁLCULO'!I12</f>
        <v>375.80500000000001</v>
      </c>
      <c r="G67" s="157">
        <v>11.57</v>
      </c>
      <c r="H67" s="157">
        <v>18.64</v>
      </c>
      <c r="I67" s="158">
        <f t="shared" ref="I67:I72" si="45">G67+H67</f>
        <v>30.21</v>
      </c>
      <c r="J67" s="137">
        <f>F67*I67</f>
        <v>11353.06905</v>
      </c>
      <c r="K67" s="144">
        <f t="shared" ref="K67:K72" si="46">J67+J67*$K$9</f>
        <v>13623.682860000001</v>
      </c>
      <c r="L67" s="138">
        <f t="shared" ref="L67:L68" si="47">K67/$K$15</f>
        <v>7.5957328316078154E-2</v>
      </c>
    </row>
    <row r="68" spans="1:14" s="148" customFormat="1">
      <c r="A68" s="132" t="s">
        <v>268</v>
      </c>
      <c r="B68" s="132" t="s">
        <v>62</v>
      </c>
      <c r="C68" s="132" t="s">
        <v>81</v>
      </c>
      <c r="D68" s="168" t="s">
        <v>82</v>
      </c>
      <c r="E68" s="132" t="s">
        <v>57</v>
      </c>
      <c r="F68" s="134">
        <f>0.6*1.8*6*2</f>
        <v>12.96</v>
      </c>
      <c r="G68" s="135">
        <v>17.48</v>
      </c>
      <c r="H68" s="135">
        <v>26.02</v>
      </c>
      <c r="I68" s="136">
        <f>G68+H68</f>
        <v>43.5</v>
      </c>
      <c r="J68" s="137">
        <f t="shared" ref="J68" si="48">F68*I68</f>
        <v>563.76</v>
      </c>
      <c r="K68" s="136">
        <f>J68+J68*$K$9</f>
        <v>676.51199999999994</v>
      </c>
      <c r="L68" s="138">
        <f t="shared" si="47"/>
        <v>3.7718174022267764E-3</v>
      </c>
      <c r="N68" s="148" t="s">
        <v>273</v>
      </c>
    </row>
    <row r="69" spans="1:14" s="148" customFormat="1">
      <c r="A69" s="132" t="s">
        <v>269</v>
      </c>
      <c r="B69" s="132" t="s">
        <v>62</v>
      </c>
      <c r="C69" s="132" t="s">
        <v>86</v>
      </c>
      <c r="D69" s="168" t="s">
        <v>85</v>
      </c>
      <c r="E69" s="132" t="s">
        <v>57</v>
      </c>
      <c r="F69" s="134">
        <f>(0.85*2.1*4*2)+(2.15*0.8*4*0.2)+(2.15*0.8*4/2)+(0.8*0.6*2)</f>
        <v>20.056000000000001</v>
      </c>
      <c r="G69" s="135">
        <v>11.24</v>
      </c>
      <c r="H69" s="135">
        <v>34.69</v>
      </c>
      <c r="I69" s="136">
        <f t="shared" si="45"/>
        <v>45.93</v>
      </c>
      <c r="J69" s="137">
        <f t="shared" ref="J69" si="49">F69*I69</f>
        <v>921.17208000000005</v>
      </c>
      <c r="K69" s="136">
        <f t="shared" si="46"/>
        <v>1105.4064960000001</v>
      </c>
      <c r="L69" s="138">
        <f t="shared" ref="L69" si="50">K69/$K$15</f>
        <v>6.1630709553523429E-3</v>
      </c>
      <c r="N69" s="148" t="s">
        <v>274</v>
      </c>
    </row>
    <row r="70" spans="1:14" s="148" customFormat="1">
      <c r="A70" s="132" t="s">
        <v>270</v>
      </c>
      <c r="B70" s="132" t="s">
        <v>62</v>
      </c>
      <c r="C70" s="132" t="s">
        <v>83</v>
      </c>
      <c r="D70" s="168" t="s">
        <v>34</v>
      </c>
      <c r="E70" s="132" t="s">
        <v>57</v>
      </c>
      <c r="F70" s="162">
        <f>(16.95*26)-(188*0.05)</f>
        <v>431.3</v>
      </c>
      <c r="G70" s="135">
        <v>4.24</v>
      </c>
      <c r="H70" s="135">
        <v>18.64</v>
      </c>
      <c r="I70" s="136">
        <f t="shared" si="45"/>
        <v>22.880000000000003</v>
      </c>
      <c r="J70" s="137">
        <f>F70*I70</f>
        <v>9868.1440000000021</v>
      </c>
      <c r="K70" s="136">
        <f t="shared" si="46"/>
        <v>11841.772800000002</v>
      </c>
      <c r="L70" s="138">
        <f>K70/$K$15</f>
        <v>6.6022486992478646E-2</v>
      </c>
    </row>
    <row r="71" spans="1:14" s="148" customFormat="1">
      <c r="A71" s="132" t="s">
        <v>271</v>
      </c>
      <c r="B71" s="132" t="s">
        <v>62</v>
      </c>
      <c r="C71" s="132" t="s">
        <v>216</v>
      </c>
      <c r="D71" s="168" t="s">
        <v>217</v>
      </c>
      <c r="E71" s="132" t="s">
        <v>56</v>
      </c>
      <c r="F71" s="162">
        <v>188</v>
      </c>
      <c r="G71" s="135">
        <v>1.03</v>
      </c>
      <c r="H71" s="135">
        <v>2.8</v>
      </c>
      <c r="I71" s="136">
        <f t="shared" si="45"/>
        <v>3.83</v>
      </c>
      <c r="J71" s="137">
        <f>F71*I71</f>
        <v>720.04</v>
      </c>
      <c r="K71" s="136">
        <f t="shared" si="46"/>
        <v>864.048</v>
      </c>
      <c r="L71" s="138">
        <f>K71/$K$15</f>
        <v>4.8174035091162349E-3</v>
      </c>
    </row>
    <row r="72" spans="1:14" s="148" customFormat="1" ht="15" customHeight="1">
      <c r="A72" s="132" t="s">
        <v>272</v>
      </c>
      <c r="B72" s="132" t="s">
        <v>62</v>
      </c>
      <c r="C72" s="132" t="s">
        <v>39</v>
      </c>
      <c r="D72" s="168" t="s">
        <v>40</v>
      </c>
      <c r="E72" s="132" t="s">
        <v>56</v>
      </c>
      <c r="F72" s="162">
        <f>(13.31+19.33)*0.4</f>
        <v>13.056000000000001</v>
      </c>
      <c r="G72" s="135">
        <v>27.2</v>
      </c>
      <c r="H72" s="135">
        <v>21.69</v>
      </c>
      <c r="I72" s="136">
        <f t="shared" si="45"/>
        <v>48.89</v>
      </c>
      <c r="J72" s="137">
        <f t="shared" ref="J72" si="51">F72*I72</f>
        <v>638.30784000000006</v>
      </c>
      <c r="K72" s="136">
        <f t="shared" si="46"/>
        <v>765.96940800000004</v>
      </c>
      <c r="L72" s="138">
        <f t="shared" ref="L72" si="52">K72/$K$15</f>
        <v>4.2705772294767018E-3</v>
      </c>
      <c r="N72" s="148" t="s">
        <v>266</v>
      </c>
    </row>
    <row r="73" spans="1:14" s="148" customFormat="1" ht="6" customHeight="1">
      <c r="A73" s="33"/>
      <c r="B73" s="56"/>
      <c r="C73" s="56"/>
      <c r="D73" s="57"/>
      <c r="E73" s="56"/>
      <c r="F73" s="58"/>
      <c r="G73" s="58"/>
      <c r="H73" s="58"/>
      <c r="I73" s="58"/>
      <c r="J73" s="36"/>
      <c r="K73" s="35"/>
      <c r="L73" s="37"/>
    </row>
    <row r="74" spans="1:14" s="148" customFormat="1" ht="24" customHeight="1">
      <c r="A74" s="38">
        <v>7</v>
      </c>
      <c r="B74" s="126"/>
      <c r="C74" s="52"/>
      <c r="D74" s="53" t="s">
        <v>162</v>
      </c>
      <c r="E74" s="52"/>
      <c r="F74" s="54"/>
      <c r="G74" s="54"/>
      <c r="H74" s="54"/>
      <c r="I74" s="55" t="s">
        <v>102</v>
      </c>
      <c r="J74" s="43">
        <f>SUM(J75:J85)</f>
        <v>67628.017709677413</v>
      </c>
      <c r="K74" s="31">
        <f>SUM(K75:K85)</f>
        <v>81153.621251612931</v>
      </c>
      <c r="L74" s="32">
        <f>SUM(L75:L85)</f>
        <v>0.45246298793008011</v>
      </c>
    </row>
    <row r="75" spans="1:14" s="148" customFormat="1">
      <c r="A75" s="132" t="s">
        <v>248</v>
      </c>
      <c r="B75" s="132" t="s">
        <v>62</v>
      </c>
      <c r="C75" s="132" t="s">
        <v>103</v>
      </c>
      <c r="D75" s="168" t="s">
        <v>303</v>
      </c>
      <c r="E75" s="132" t="s">
        <v>56</v>
      </c>
      <c r="F75" s="134">
        <v>6</v>
      </c>
      <c r="G75" s="135">
        <v>1.04</v>
      </c>
      <c r="H75" s="135">
        <v>0.36</v>
      </c>
      <c r="I75" s="136">
        <f>G75+H75</f>
        <v>1.4</v>
      </c>
      <c r="J75" s="137">
        <f>F75*I75</f>
        <v>8.3999999999999986</v>
      </c>
      <c r="K75" s="136">
        <f>J75+J75*$K$9</f>
        <v>10.079999999999998</v>
      </c>
      <c r="L75" s="138">
        <f t="shared" ref="L75" si="53">K75/$K$15</f>
        <v>5.6199918721982613E-5</v>
      </c>
      <c r="N75" s="148" t="s">
        <v>275</v>
      </c>
    </row>
    <row r="76" spans="1:14" s="148" customFormat="1" ht="22.5">
      <c r="A76" s="132" t="s">
        <v>249</v>
      </c>
      <c r="B76" s="132" t="s">
        <v>62</v>
      </c>
      <c r="C76" s="132" t="s">
        <v>116</v>
      </c>
      <c r="D76" s="168" t="s">
        <v>117</v>
      </c>
      <c r="E76" s="132" t="s">
        <v>55</v>
      </c>
      <c r="F76" s="162">
        <f>(25+25+40+40)/3.1</f>
        <v>41.935483870967744</v>
      </c>
      <c r="G76" s="135">
        <v>0</v>
      </c>
      <c r="H76" s="135">
        <v>22.03</v>
      </c>
      <c r="I76" s="136">
        <f>G76+H76</f>
        <v>22.03</v>
      </c>
      <c r="J76" s="137">
        <f>F76*I76</f>
        <v>923.83870967741939</v>
      </c>
      <c r="K76" s="136">
        <f>J76+J76*$K$9</f>
        <v>1108.6064516129034</v>
      </c>
      <c r="L76" s="138">
        <f t="shared" ref="L76" si="54">K76/$K$15</f>
        <v>6.1809119519157475E-3</v>
      </c>
    </row>
    <row r="77" spans="1:14" s="148" customFormat="1">
      <c r="A77" s="132" t="s">
        <v>250</v>
      </c>
      <c r="B77" s="132" t="s">
        <v>62</v>
      </c>
      <c r="C77" s="132" t="s">
        <v>158</v>
      </c>
      <c r="D77" s="168" t="s">
        <v>159</v>
      </c>
      <c r="E77" s="132" t="s">
        <v>57</v>
      </c>
      <c r="F77" s="134">
        <f>(25+25+40+40)*2</f>
        <v>260</v>
      </c>
      <c r="G77" s="135">
        <v>0</v>
      </c>
      <c r="H77" s="135">
        <v>3.72</v>
      </c>
      <c r="I77" s="136">
        <f>G77+H77</f>
        <v>3.72</v>
      </c>
      <c r="J77" s="137">
        <f>F77*I77</f>
        <v>967.2</v>
      </c>
      <c r="K77" s="136">
        <f>J77+J77*$K$9</f>
        <v>1160.6400000000001</v>
      </c>
      <c r="L77" s="138">
        <f t="shared" ref="L77:L78" si="55">K77/$K$15</f>
        <v>6.4710192128454285E-3</v>
      </c>
    </row>
    <row r="78" spans="1:14" s="148" customFormat="1">
      <c r="A78" s="132" t="s">
        <v>251</v>
      </c>
      <c r="B78" s="132" t="s">
        <v>62</v>
      </c>
      <c r="C78" s="132" t="s">
        <v>104</v>
      </c>
      <c r="D78" s="168" t="s">
        <v>304</v>
      </c>
      <c r="E78" s="132" t="s">
        <v>56</v>
      </c>
      <c r="F78" s="134">
        <f>F75/3*2</f>
        <v>4</v>
      </c>
      <c r="G78" s="135">
        <v>18.13</v>
      </c>
      <c r="H78" s="135">
        <v>41.17</v>
      </c>
      <c r="I78" s="136">
        <f>G78+H78</f>
        <v>59.3</v>
      </c>
      <c r="J78" s="137">
        <f t="shared" ref="J78" si="56">F78*I78</f>
        <v>237.2</v>
      </c>
      <c r="K78" s="136">
        <f>J78+J78*$K$9</f>
        <v>284.64</v>
      </c>
      <c r="L78" s="138">
        <f t="shared" si="55"/>
        <v>1.5869786572445569E-3</v>
      </c>
      <c r="N78" s="148" t="s">
        <v>276</v>
      </c>
    </row>
    <row r="79" spans="1:14" s="148" customFormat="1" ht="25.5" customHeight="1">
      <c r="A79" s="132" t="s">
        <v>252</v>
      </c>
      <c r="B79" s="132" t="s">
        <v>62</v>
      </c>
      <c r="C79" s="132" t="s">
        <v>105</v>
      </c>
      <c r="D79" s="168" t="s">
        <v>305</v>
      </c>
      <c r="E79" s="132" t="s">
        <v>57</v>
      </c>
      <c r="F79" s="134">
        <f>(6*0.35)+((1+1+0.4+0.4)*1.5)</f>
        <v>6.2999999999999989</v>
      </c>
      <c r="G79" s="135">
        <v>49.27</v>
      </c>
      <c r="H79" s="135">
        <v>31.1</v>
      </c>
      <c r="I79" s="136">
        <f t="shared" ref="I79:I85" si="57">G79+H79</f>
        <v>80.37</v>
      </c>
      <c r="J79" s="137">
        <f t="shared" ref="J79:J85" si="58">F79*I79</f>
        <v>506.33099999999996</v>
      </c>
      <c r="K79" s="136">
        <f t="shared" ref="K79:K85" si="59">J79+J79*$K$9</f>
        <v>607.59719999999993</v>
      </c>
      <c r="L79" s="138">
        <f t="shared" ref="L79:L85" si="60">K79/$K$15</f>
        <v>3.3875906007643074E-3</v>
      </c>
      <c r="N79" s="148" t="s">
        <v>277</v>
      </c>
    </row>
    <row r="80" spans="1:14" s="148" customFormat="1" ht="15" customHeight="1">
      <c r="A80" s="132" t="s">
        <v>253</v>
      </c>
      <c r="B80" s="132" t="s">
        <v>62</v>
      </c>
      <c r="C80" s="132" t="s">
        <v>106</v>
      </c>
      <c r="D80" s="168" t="s">
        <v>306</v>
      </c>
      <c r="E80" s="132" t="s">
        <v>57</v>
      </c>
      <c r="F80" s="134">
        <f>(6*0.35*2)+(6*0.15)+((1+1+0.4+0.4)*1.5)+(1*0.4)</f>
        <v>9.6999999999999993</v>
      </c>
      <c r="G80" s="135">
        <v>2.19</v>
      </c>
      <c r="H80" s="135">
        <v>4.13</v>
      </c>
      <c r="I80" s="136">
        <f t="shared" si="57"/>
        <v>6.32</v>
      </c>
      <c r="J80" s="137">
        <f t="shared" si="58"/>
        <v>61.303999999999995</v>
      </c>
      <c r="K80" s="136">
        <f t="shared" si="59"/>
        <v>73.564799999999991</v>
      </c>
      <c r="L80" s="138">
        <f t="shared" si="60"/>
        <v>4.1015235920624076E-4</v>
      </c>
    </row>
    <row r="81" spans="1:14" s="148" customFormat="1" ht="15" customHeight="1">
      <c r="A81" s="132" t="s">
        <v>254</v>
      </c>
      <c r="B81" s="132" t="s">
        <v>62</v>
      </c>
      <c r="C81" s="132" t="s">
        <v>107</v>
      </c>
      <c r="D81" s="168" t="s">
        <v>307</v>
      </c>
      <c r="E81" s="132" t="s">
        <v>57</v>
      </c>
      <c r="F81" s="134">
        <f>F80</f>
        <v>9.6999999999999993</v>
      </c>
      <c r="G81" s="135">
        <v>9.39</v>
      </c>
      <c r="H81" s="135">
        <v>11.36</v>
      </c>
      <c r="I81" s="136">
        <f t="shared" si="57"/>
        <v>20.75</v>
      </c>
      <c r="J81" s="137">
        <f>F81*I81</f>
        <v>201.27499999999998</v>
      </c>
      <c r="K81" s="136">
        <f t="shared" si="59"/>
        <v>241.52999999999997</v>
      </c>
      <c r="L81" s="138">
        <f t="shared" si="60"/>
        <v>1.3466236477103633E-3</v>
      </c>
    </row>
    <row r="82" spans="1:14" s="148" customFormat="1" ht="15" customHeight="1">
      <c r="A82" s="132" t="s">
        <v>255</v>
      </c>
      <c r="B82" s="132" t="s">
        <v>62</v>
      </c>
      <c r="C82" s="132" t="s">
        <v>108</v>
      </c>
      <c r="D82" s="168" t="s">
        <v>288</v>
      </c>
      <c r="E82" s="132" t="s">
        <v>57</v>
      </c>
      <c r="F82" s="134">
        <f>F80</f>
        <v>9.6999999999999993</v>
      </c>
      <c r="G82" s="135">
        <v>1.89</v>
      </c>
      <c r="H82" s="135">
        <v>9.7799999999999994</v>
      </c>
      <c r="I82" s="136">
        <f t="shared" si="57"/>
        <v>11.67</v>
      </c>
      <c r="J82" s="137">
        <f t="shared" si="58"/>
        <v>113.199</v>
      </c>
      <c r="K82" s="136">
        <f t="shared" si="59"/>
        <v>135.83879999999999</v>
      </c>
      <c r="L82" s="138">
        <f t="shared" si="60"/>
        <v>7.5735411897734654E-4</v>
      </c>
    </row>
    <row r="83" spans="1:14" s="148" customFormat="1">
      <c r="A83" s="132" t="s">
        <v>256</v>
      </c>
      <c r="B83" s="132" t="s">
        <v>62</v>
      </c>
      <c r="C83" s="132" t="s">
        <v>161</v>
      </c>
      <c r="D83" s="168" t="s">
        <v>328</v>
      </c>
      <c r="E83" s="132" t="s">
        <v>57</v>
      </c>
      <c r="F83" s="134">
        <f>(25+23.3+40+40)*2</f>
        <v>256.60000000000002</v>
      </c>
      <c r="G83" s="135">
        <v>238.03</v>
      </c>
      <c r="H83" s="135">
        <v>0</v>
      </c>
      <c r="I83" s="136">
        <f t="shared" ref="I83:I84" si="61">G83+H83</f>
        <v>238.03</v>
      </c>
      <c r="J83" s="137">
        <f t="shared" ref="J83:J84" si="62">F83*I83</f>
        <v>61078.498000000007</v>
      </c>
      <c r="K83" s="136">
        <f t="shared" ref="K83:K84" si="63">J83+J83*$K$9</f>
        <v>73294.197600000014</v>
      </c>
      <c r="L83" s="138">
        <f t="shared" ref="L83:L84" si="64">K83/$K$15</f>
        <v>0.40864364562628319</v>
      </c>
      <c r="N83" s="148" t="s">
        <v>278</v>
      </c>
    </row>
    <row r="84" spans="1:14" s="148" customFormat="1">
      <c r="A84" s="132" t="s">
        <v>257</v>
      </c>
      <c r="B84" s="132" t="s">
        <v>62</v>
      </c>
      <c r="C84" s="132" t="s">
        <v>308</v>
      </c>
      <c r="D84" s="168" t="s">
        <v>160</v>
      </c>
      <c r="E84" s="132" t="s">
        <v>57</v>
      </c>
      <c r="F84" s="134">
        <f>1.7*2</f>
        <v>3.4</v>
      </c>
      <c r="G84" s="135">
        <v>791.1</v>
      </c>
      <c r="H84" s="135">
        <v>56.76</v>
      </c>
      <c r="I84" s="136">
        <f t="shared" si="61"/>
        <v>847.86</v>
      </c>
      <c r="J84" s="137">
        <f t="shared" si="62"/>
        <v>2882.7240000000002</v>
      </c>
      <c r="K84" s="136">
        <f t="shared" si="63"/>
        <v>3459.2688000000003</v>
      </c>
      <c r="L84" s="138">
        <f t="shared" si="64"/>
        <v>1.9286768392608174E-2</v>
      </c>
    </row>
    <row r="85" spans="1:14" s="148" customFormat="1" ht="11.25" customHeight="1">
      <c r="A85" s="132" t="s">
        <v>297</v>
      </c>
      <c r="B85" s="132" t="s">
        <v>62</v>
      </c>
      <c r="C85" s="132" t="s">
        <v>298</v>
      </c>
      <c r="D85" s="168" t="s">
        <v>300</v>
      </c>
      <c r="E85" s="132" t="s">
        <v>57</v>
      </c>
      <c r="F85" s="134">
        <f>0.6*0.8</f>
        <v>0.48</v>
      </c>
      <c r="G85" s="135">
        <v>1271.8599999999999</v>
      </c>
      <c r="H85" s="135">
        <v>78.239999999999995</v>
      </c>
      <c r="I85" s="136">
        <f t="shared" si="57"/>
        <v>1350.1</v>
      </c>
      <c r="J85" s="137">
        <f t="shared" si="58"/>
        <v>648.04799999999989</v>
      </c>
      <c r="K85" s="136">
        <f t="shared" si="59"/>
        <v>777.65759999999989</v>
      </c>
      <c r="L85" s="138">
        <f t="shared" si="60"/>
        <v>4.3357434438027849E-3</v>
      </c>
    </row>
    <row r="86" spans="1:14" s="148" customFormat="1" ht="6" customHeight="1">
      <c r="A86" s="44"/>
      <c r="B86" s="56"/>
      <c r="C86" s="56"/>
      <c r="D86" s="168"/>
      <c r="E86" s="56"/>
      <c r="F86" s="58"/>
      <c r="G86" s="58"/>
      <c r="H86" s="58"/>
      <c r="I86" s="58"/>
      <c r="J86" s="77"/>
      <c r="K86" s="76"/>
      <c r="L86" s="78"/>
    </row>
    <row r="87" spans="1:14" s="148" customFormat="1" ht="15" customHeight="1">
      <c r="A87" s="38">
        <v>8</v>
      </c>
      <c r="B87" s="126"/>
      <c r="C87" s="52"/>
      <c r="D87" s="53" t="s">
        <v>97</v>
      </c>
      <c r="E87" s="52"/>
      <c r="F87" s="54"/>
      <c r="G87" s="54"/>
      <c r="H87" s="54"/>
      <c r="I87" s="55"/>
      <c r="J87" s="43">
        <f>SUM(J88:J92)</f>
        <v>3008.2368000000001</v>
      </c>
      <c r="K87" s="31">
        <f>SUM(K88:K92)</f>
        <v>3609.8841600000001</v>
      </c>
      <c r="L87" s="32">
        <f>SUM(L88:L92)</f>
        <v>2.0126507578152035E-2</v>
      </c>
    </row>
    <row r="88" spans="1:14" s="148" customFormat="1" ht="15" customHeight="1">
      <c r="A88" s="132" t="s">
        <v>258</v>
      </c>
      <c r="B88" s="44" t="s">
        <v>62</v>
      </c>
      <c r="C88" s="132" t="s">
        <v>98</v>
      </c>
      <c r="D88" s="168" t="s">
        <v>99</v>
      </c>
      <c r="E88" s="132" t="s">
        <v>100</v>
      </c>
      <c r="F88" s="171">
        <f>(0.41*0.35*3)+(1*0.4*0.1)</f>
        <v>0.47050000000000003</v>
      </c>
      <c r="G88" s="172" t="s">
        <v>8</v>
      </c>
      <c r="H88" s="157">
        <v>352.8</v>
      </c>
      <c r="I88" s="158">
        <f>H88</f>
        <v>352.8</v>
      </c>
      <c r="J88" s="137">
        <f>F88*I88</f>
        <v>165.9924</v>
      </c>
      <c r="K88" s="144">
        <f>J88+J88*$K$9</f>
        <v>199.19087999999999</v>
      </c>
      <c r="L88" s="138">
        <f t="shared" ref="L88:L91" si="65">K88/$K$15</f>
        <v>1.1105665938650987E-3</v>
      </c>
    </row>
    <row r="89" spans="1:14" s="148" customFormat="1" ht="15" customHeight="1">
      <c r="A89" s="132" t="s">
        <v>259</v>
      </c>
      <c r="B89" s="44" t="s">
        <v>62</v>
      </c>
      <c r="C89" s="132" t="s">
        <v>101</v>
      </c>
      <c r="D89" s="168" t="s">
        <v>170</v>
      </c>
      <c r="E89" s="132" t="s">
        <v>55</v>
      </c>
      <c r="F89" s="171">
        <v>1</v>
      </c>
      <c r="G89" s="171">
        <v>0</v>
      </c>
      <c r="H89" s="157">
        <v>1771.71</v>
      </c>
      <c r="I89" s="158">
        <f>G89+H89</f>
        <v>1771.71</v>
      </c>
      <c r="J89" s="137">
        <f t="shared" ref="J89:J91" si="66">F89*I89</f>
        <v>1771.71</v>
      </c>
      <c r="K89" s="144">
        <f>J89+J89*$K$9</f>
        <v>2126.0520000000001</v>
      </c>
      <c r="L89" s="138">
        <f t="shared" si="65"/>
        <v>1.1853566428443315E-2</v>
      </c>
    </row>
    <row r="90" spans="1:14" s="148" customFormat="1" ht="15" customHeight="1">
      <c r="A90" s="132" t="s">
        <v>260</v>
      </c>
      <c r="B90" s="44" t="s">
        <v>62</v>
      </c>
      <c r="C90" s="132" t="s">
        <v>153</v>
      </c>
      <c r="D90" s="168" t="s">
        <v>154</v>
      </c>
      <c r="E90" s="132" t="s">
        <v>56</v>
      </c>
      <c r="F90" s="171">
        <f>4*1.5*2</f>
        <v>12</v>
      </c>
      <c r="G90" s="171">
        <v>28.25</v>
      </c>
      <c r="H90" s="157">
        <v>42.82</v>
      </c>
      <c r="I90" s="158">
        <f>G90+H90</f>
        <v>71.069999999999993</v>
      </c>
      <c r="J90" s="137">
        <f t="shared" si="66"/>
        <v>852.83999999999992</v>
      </c>
      <c r="K90" s="144">
        <f>J90+J90*$K$9</f>
        <v>1023.4079999999999</v>
      </c>
      <c r="L90" s="138">
        <f t="shared" si="65"/>
        <v>5.7058974622447214E-3</v>
      </c>
    </row>
    <row r="91" spans="1:14" s="148" customFormat="1" ht="15" customHeight="1">
      <c r="A91" s="132" t="s">
        <v>261</v>
      </c>
      <c r="B91" s="44" t="s">
        <v>62</v>
      </c>
      <c r="C91" s="132" t="s">
        <v>150</v>
      </c>
      <c r="D91" s="168" t="s">
        <v>151</v>
      </c>
      <c r="E91" s="132" t="s">
        <v>100</v>
      </c>
      <c r="F91" s="171">
        <f>2*1.7*0.1</f>
        <v>0.34</v>
      </c>
      <c r="G91" s="171">
        <v>372.82</v>
      </c>
      <c r="H91" s="157">
        <v>105.84</v>
      </c>
      <c r="I91" s="158">
        <f>G91+H91</f>
        <v>478.65999999999997</v>
      </c>
      <c r="J91" s="137">
        <f t="shared" si="66"/>
        <v>162.74440000000001</v>
      </c>
      <c r="K91" s="144">
        <f>J91+J91*$K$9</f>
        <v>195.29328000000001</v>
      </c>
      <c r="L91" s="138">
        <f t="shared" si="65"/>
        <v>1.0888359586259321E-3</v>
      </c>
    </row>
    <row r="92" spans="1:14" s="148" customFormat="1" ht="15" customHeight="1">
      <c r="A92" s="132" t="s">
        <v>262</v>
      </c>
      <c r="B92" s="44" t="s">
        <v>62</v>
      </c>
      <c r="C92" s="132" t="s">
        <v>169</v>
      </c>
      <c r="D92" s="168" t="s">
        <v>152</v>
      </c>
      <c r="E92" s="132" t="s">
        <v>100</v>
      </c>
      <c r="F92" s="171">
        <v>5</v>
      </c>
      <c r="G92" s="171">
        <v>8.7200000000000006</v>
      </c>
      <c r="H92" s="157">
        <v>2.27</v>
      </c>
      <c r="I92" s="158">
        <f>G92+H92</f>
        <v>10.99</v>
      </c>
      <c r="J92" s="137">
        <f t="shared" ref="J92" si="67">F92*I92</f>
        <v>54.95</v>
      </c>
      <c r="K92" s="136">
        <f>J92+J92*$K$9</f>
        <v>65.94</v>
      </c>
      <c r="L92" s="138">
        <f t="shared" ref="L92" si="68">K92/$K$15</f>
        <v>3.6764113497296964E-4</v>
      </c>
    </row>
    <row r="93" spans="1:14" s="148" customFormat="1" ht="6.75" customHeight="1">
      <c r="A93" s="79"/>
      <c r="B93" s="79"/>
      <c r="C93" s="79"/>
      <c r="D93" s="173"/>
      <c r="E93" s="79"/>
      <c r="F93" s="80"/>
      <c r="G93" s="174"/>
      <c r="H93" s="174"/>
      <c r="I93" s="81"/>
      <c r="J93" s="82"/>
      <c r="K93" s="81"/>
      <c r="L93" s="83"/>
    </row>
    <row r="94" spans="1:14" s="148" customFormat="1" ht="15" customHeight="1">
      <c r="A94" s="192">
        <v>9</v>
      </c>
      <c r="B94" s="126"/>
      <c r="C94" s="52"/>
      <c r="D94" s="53" t="s">
        <v>35</v>
      </c>
      <c r="E94" s="52"/>
      <c r="F94" s="54"/>
      <c r="G94" s="54"/>
      <c r="H94" s="54"/>
      <c r="I94" s="55"/>
      <c r="J94" s="72">
        <f>SUM(J95:J110)</f>
        <v>7509.8781310000004</v>
      </c>
      <c r="K94" s="73">
        <f>SUM(K95:K110)</f>
        <v>9011.8537572000023</v>
      </c>
      <c r="L94" s="74">
        <f>SUM(L95:L110)</f>
        <v>5.0244588163594617E-2</v>
      </c>
    </row>
    <row r="95" spans="1:14" s="148" customFormat="1" ht="27" customHeight="1">
      <c r="A95" s="140" t="s">
        <v>263</v>
      </c>
      <c r="B95" s="33" t="s">
        <v>62</v>
      </c>
      <c r="C95" s="147" t="s">
        <v>214</v>
      </c>
      <c r="D95" s="133" t="s">
        <v>215</v>
      </c>
      <c r="E95" s="132" t="s">
        <v>100</v>
      </c>
      <c r="F95" s="134">
        <f>F88+F101*1.3</f>
        <v>0.81305000000000005</v>
      </c>
      <c r="G95" s="135">
        <v>91.24</v>
      </c>
      <c r="H95" s="135">
        <v>10.58</v>
      </c>
      <c r="I95" s="136">
        <f t="shared" ref="I95" si="69">G95+H95</f>
        <v>101.82</v>
      </c>
      <c r="J95" s="137">
        <f t="shared" ref="J95" si="70">F95*I95</f>
        <v>82.784751</v>
      </c>
      <c r="K95" s="136">
        <f t="shared" ref="K95" si="71">J95+J95*$K$9</f>
        <v>99.341701200000003</v>
      </c>
      <c r="L95" s="138">
        <f t="shared" ref="L95" si="72">K95/$K$15</f>
        <v>5.5386860447852019E-4</v>
      </c>
    </row>
    <row r="96" spans="1:14" s="148" customFormat="1" ht="15" customHeight="1">
      <c r="A96" s="140" t="s">
        <v>264</v>
      </c>
      <c r="B96" s="132" t="s">
        <v>62</v>
      </c>
      <c r="C96" s="132" t="s">
        <v>72</v>
      </c>
      <c r="D96" s="175" t="s">
        <v>171</v>
      </c>
      <c r="E96" s="132" t="s">
        <v>73</v>
      </c>
      <c r="F96" s="134">
        <v>2</v>
      </c>
      <c r="G96" s="135">
        <v>0</v>
      </c>
      <c r="H96" s="135">
        <v>140.83000000000001</v>
      </c>
      <c r="I96" s="136">
        <f>G96+H96</f>
        <v>140.83000000000001</v>
      </c>
      <c r="J96" s="137">
        <f>F96*I96</f>
        <v>281.66000000000003</v>
      </c>
      <c r="K96" s="136">
        <f>J96+J96*$K$9</f>
        <v>337.99200000000002</v>
      </c>
      <c r="L96" s="138">
        <f>K96/$K$15</f>
        <v>1.8844367984801936E-3</v>
      </c>
    </row>
    <row r="97" spans="1:12" s="148" customFormat="1" ht="21.75" customHeight="1">
      <c r="A97" s="140" t="s">
        <v>231</v>
      </c>
      <c r="B97" s="132" t="s">
        <v>62</v>
      </c>
      <c r="C97" s="132" t="s">
        <v>72</v>
      </c>
      <c r="D97" s="153" t="s">
        <v>172</v>
      </c>
      <c r="E97" s="132" t="s">
        <v>73</v>
      </c>
      <c r="F97" s="134">
        <v>2</v>
      </c>
      <c r="G97" s="135">
        <v>0</v>
      </c>
      <c r="H97" s="135">
        <v>140.83000000000001</v>
      </c>
      <c r="I97" s="136">
        <f t="shared" ref="I97" si="73">G97+H97</f>
        <v>140.83000000000001</v>
      </c>
      <c r="J97" s="137">
        <f t="shared" ref="J97:J110" si="74">F97*I97</f>
        <v>281.66000000000003</v>
      </c>
      <c r="K97" s="136">
        <f t="shared" ref="K97" si="75">J97+J97*$K$9</f>
        <v>337.99200000000002</v>
      </c>
      <c r="L97" s="138">
        <f>K97/$K$15</f>
        <v>1.8844367984801936E-3</v>
      </c>
    </row>
    <row r="98" spans="1:12" s="148" customFormat="1" ht="14.25" customHeight="1">
      <c r="A98" s="132"/>
      <c r="B98" s="132"/>
      <c r="C98" s="132"/>
      <c r="D98" s="96" t="s">
        <v>286</v>
      </c>
      <c r="E98" s="132"/>
      <c r="F98" s="134"/>
      <c r="G98" s="135"/>
      <c r="H98" s="135"/>
      <c r="I98" s="136"/>
      <c r="J98" s="137"/>
      <c r="K98" s="136"/>
      <c r="L98" s="138"/>
    </row>
    <row r="99" spans="1:12" s="148" customFormat="1" ht="15" customHeight="1">
      <c r="A99" s="132" t="s">
        <v>309</v>
      </c>
      <c r="B99" s="132" t="s">
        <v>62</v>
      </c>
      <c r="C99" s="132" t="s">
        <v>321</v>
      </c>
      <c r="D99" s="153" t="s">
        <v>138</v>
      </c>
      <c r="E99" s="132" t="s">
        <v>56</v>
      </c>
      <c r="F99" s="134">
        <v>4</v>
      </c>
      <c r="G99" s="135">
        <v>856.21</v>
      </c>
      <c r="H99" s="135">
        <v>39.119999999999997</v>
      </c>
      <c r="I99" s="136">
        <f>G99+H99</f>
        <v>895.33</v>
      </c>
      <c r="J99" s="137">
        <f t="shared" si="74"/>
        <v>3581.32</v>
      </c>
      <c r="K99" s="136">
        <f>J99+J99*$K$9</f>
        <v>4297.5840000000007</v>
      </c>
      <c r="L99" s="138">
        <f>K99/$K$15</f>
        <v>2.3960701537787007E-2</v>
      </c>
    </row>
    <row r="100" spans="1:12" s="148" customFormat="1" ht="15" customHeight="1">
      <c r="A100" s="132" t="s">
        <v>310</v>
      </c>
      <c r="B100" s="132" t="s">
        <v>62</v>
      </c>
      <c r="C100" s="132" t="s">
        <v>136</v>
      </c>
      <c r="D100" s="153" t="s">
        <v>137</v>
      </c>
      <c r="E100" s="132" t="s">
        <v>56</v>
      </c>
      <c r="F100" s="134">
        <v>4</v>
      </c>
      <c r="G100" s="135">
        <v>482.43</v>
      </c>
      <c r="H100" s="135">
        <v>19.559999999999999</v>
      </c>
      <c r="I100" s="136">
        <f>G100+H100</f>
        <v>501.99</v>
      </c>
      <c r="J100" s="137">
        <f t="shared" si="74"/>
        <v>2007.96</v>
      </c>
      <c r="K100" s="136">
        <f>J100+J100*$K$9</f>
        <v>2409.5520000000001</v>
      </c>
      <c r="L100" s="138">
        <f>K100/$K$15</f>
        <v>1.3434189142499076E-2</v>
      </c>
    </row>
    <row r="101" spans="1:12" s="148" customFormat="1" ht="15" customHeight="1">
      <c r="A101" s="132" t="s">
        <v>311</v>
      </c>
      <c r="B101" s="132" t="s">
        <v>62</v>
      </c>
      <c r="C101" s="132" t="s">
        <v>211</v>
      </c>
      <c r="D101" s="153" t="s">
        <v>212</v>
      </c>
      <c r="E101" s="132" t="s">
        <v>100</v>
      </c>
      <c r="F101" s="134">
        <f>(1.5*1.3*0.16/2)+(2.15*1*0.05)</f>
        <v>0.26350000000000001</v>
      </c>
      <c r="G101" s="135">
        <v>0</v>
      </c>
      <c r="H101" s="135">
        <v>194.04</v>
      </c>
      <c r="I101" s="136">
        <f>G101+H101</f>
        <v>194.04</v>
      </c>
      <c r="J101" s="137">
        <f t="shared" ref="J101" si="76">F101*I101</f>
        <v>51.129539999999999</v>
      </c>
      <c r="K101" s="136">
        <f>J101+J101*$K$9</f>
        <v>61.355447999999996</v>
      </c>
      <c r="L101" s="138">
        <f>K101/$K$15</f>
        <v>3.420804752728999E-4</v>
      </c>
    </row>
    <row r="102" spans="1:12" s="148" customFormat="1" ht="15" customHeight="1">
      <c r="A102" s="132" t="s">
        <v>312</v>
      </c>
      <c r="B102" s="132" t="s">
        <v>62</v>
      </c>
      <c r="C102" s="132" t="s">
        <v>150</v>
      </c>
      <c r="D102" s="168" t="s">
        <v>151</v>
      </c>
      <c r="E102" s="132" t="s">
        <v>100</v>
      </c>
      <c r="F102" s="134">
        <f>1.4*2*0.16/2</f>
        <v>0.22399999999999998</v>
      </c>
      <c r="G102" s="134">
        <v>372.82</v>
      </c>
      <c r="H102" s="135">
        <v>105.84</v>
      </c>
      <c r="I102" s="136">
        <f>G102+H102</f>
        <v>478.65999999999997</v>
      </c>
      <c r="J102" s="137">
        <f t="shared" si="74"/>
        <v>107.21983999999998</v>
      </c>
      <c r="K102" s="136">
        <f>J102+J102*$K$9</f>
        <v>128.66380799999996</v>
      </c>
      <c r="L102" s="138">
        <f t="shared" ref="L102:L106" si="77">K102/$K$15</f>
        <v>7.1735074921237851E-4</v>
      </c>
    </row>
    <row r="103" spans="1:12" s="148" customFormat="1" ht="15" customHeight="1">
      <c r="A103" s="132" t="s">
        <v>313</v>
      </c>
      <c r="B103" s="132" t="s">
        <v>62</v>
      </c>
      <c r="C103" s="132" t="s">
        <v>169</v>
      </c>
      <c r="D103" s="168" t="s">
        <v>152</v>
      </c>
      <c r="E103" s="132" t="s">
        <v>100</v>
      </c>
      <c r="F103" s="134">
        <v>5</v>
      </c>
      <c r="G103" s="134">
        <v>8.7200000000000006</v>
      </c>
      <c r="H103" s="135">
        <v>2.27</v>
      </c>
      <c r="I103" s="136">
        <f>G103+H103</f>
        <v>10.99</v>
      </c>
      <c r="J103" s="137">
        <f t="shared" si="74"/>
        <v>54.95</v>
      </c>
      <c r="K103" s="136">
        <f>J103+J103*$K$9</f>
        <v>65.94</v>
      </c>
      <c r="L103" s="138">
        <f t="shared" si="77"/>
        <v>3.6764113497296964E-4</v>
      </c>
    </row>
    <row r="104" spans="1:12" s="148" customFormat="1">
      <c r="A104" s="132" t="s">
        <v>314</v>
      </c>
      <c r="B104" s="132" t="s">
        <v>62</v>
      </c>
      <c r="C104" s="132" t="s">
        <v>173</v>
      </c>
      <c r="D104" s="168" t="s">
        <v>174</v>
      </c>
      <c r="E104" s="132" t="s">
        <v>57</v>
      </c>
      <c r="F104" s="134">
        <f>(2*0.05*2*2)</f>
        <v>0.4</v>
      </c>
      <c r="G104" s="135">
        <v>45.46</v>
      </c>
      <c r="H104" s="135">
        <v>63.34</v>
      </c>
      <c r="I104" s="136">
        <f t="shared" ref="I104:I106" si="78">G104+H104</f>
        <v>108.80000000000001</v>
      </c>
      <c r="J104" s="137">
        <f t="shared" si="74"/>
        <v>43.52000000000001</v>
      </c>
      <c r="K104" s="136">
        <f t="shared" ref="K104:K106" si="79">J104+J104*$K$9</f>
        <v>52.224000000000011</v>
      </c>
      <c r="L104" s="138">
        <f t="shared" si="77"/>
        <v>2.9116910271198625E-4</v>
      </c>
    </row>
    <row r="105" spans="1:12" s="148" customFormat="1" ht="15" customHeight="1">
      <c r="A105" s="132" t="s">
        <v>315</v>
      </c>
      <c r="B105" s="132" t="s">
        <v>62</v>
      </c>
      <c r="C105" s="132" t="s">
        <v>106</v>
      </c>
      <c r="D105" s="168" t="s">
        <v>287</v>
      </c>
      <c r="E105" s="132" t="s">
        <v>57</v>
      </c>
      <c r="F105" s="134">
        <f>F104*4</f>
        <v>1.6</v>
      </c>
      <c r="G105" s="135">
        <v>2.19</v>
      </c>
      <c r="H105" s="135">
        <v>4.13</v>
      </c>
      <c r="I105" s="136">
        <f t="shared" si="78"/>
        <v>6.32</v>
      </c>
      <c r="J105" s="137">
        <f t="shared" si="74"/>
        <v>10.112000000000002</v>
      </c>
      <c r="K105" s="136">
        <f t="shared" si="79"/>
        <v>12.134400000000003</v>
      </c>
      <c r="L105" s="138">
        <f t="shared" si="77"/>
        <v>6.7653997394843864E-5</v>
      </c>
    </row>
    <row r="106" spans="1:12" s="148" customFormat="1">
      <c r="A106" s="132" t="s">
        <v>316</v>
      </c>
      <c r="B106" s="132" t="s">
        <v>62</v>
      </c>
      <c r="C106" s="132" t="s">
        <v>107</v>
      </c>
      <c r="D106" s="168" t="s">
        <v>289</v>
      </c>
      <c r="E106" s="132" t="s">
        <v>57</v>
      </c>
      <c r="F106" s="134">
        <f>F105</f>
        <v>1.6</v>
      </c>
      <c r="G106" s="135">
        <v>9.39</v>
      </c>
      <c r="H106" s="135">
        <v>11.36</v>
      </c>
      <c r="I106" s="136">
        <f t="shared" si="78"/>
        <v>20.75</v>
      </c>
      <c r="J106" s="137">
        <f t="shared" si="74"/>
        <v>33.200000000000003</v>
      </c>
      <c r="K106" s="136">
        <f t="shared" si="79"/>
        <v>39.840000000000003</v>
      </c>
      <c r="L106" s="138">
        <f t="shared" si="77"/>
        <v>2.2212348828212184E-4</v>
      </c>
    </row>
    <row r="107" spans="1:12" s="148" customFormat="1">
      <c r="A107" s="132" t="s">
        <v>317</v>
      </c>
      <c r="B107" s="132" t="s">
        <v>62</v>
      </c>
      <c r="C107" s="132" t="s">
        <v>108</v>
      </c>
      <c r="D107" s="168" t="s">
        <v>288</v>
      </c>
      <c r="E107" s="132" t="s">
        <v>57</v>
      </c>
      <c r="F107" s="134">
        <f>F104</f>
        <v>0.4</v>
      </c>
      <c r="G107" s="135">
        <v>1.89</v>
      </c>
      <c r="H107" s="135">
        <v>9.7799999999999994</v>
      </c>
      <c r="I107" s="136">
        <f t="shared" ref="I107:I109" si="80">G107+H107</f>
        <v>11.67</v>
      </c>
      <c r="J107" s="137">
        <f t="shared" ref="J107" si="81">F107*I107</f>
        <v>4.6680000000000001</v>
      </c>
      <c r="K107" s="136">
        <f t="shared" ref="K107:K108" si="82">J107+J107*$K$9</f>
        <v>5.6016000000000004</v>
      </c>
      <c r="L107" s="138">
        <f t="shared" ref="L107" si="83">K107/$K$15</f>
        <v>3.1231097689787493E-5</v>
      </c>
    </row>
    <row r="108" spans="1:12" s="148" customFormat="1">
      <c r="A108" s="132" t="s">
        <v>318</v>
      </c>
      <c r="B108" s="132" t="s">
        <v>62</v>
      </c>
      <c r="C108" s="132" t="s">
        <v>322</v>
      </c>
      <c r="D108" s="168" t="s">
        <v>213</v>
      </c>
      <c r="E108" s="132" t="s">
        <v>100</v>
      </c>
      <c r="F108" s="134">
        <f t="shared" ref="F108" si="84">2.15*1*0.5</f>
        <v>1.075</v>
      </c>
      <c r="G108" s="134">
        <v>8.77</v>
      </c>
      <c r="H108" s="135">
        <v>21.51</v>
      </c>
      <c r="I108" s="136">
        <f t="shared" si="80"/>
        <v>30.28</v>
      </c>
      <c r="J108" s="137">
        <f t="shared" ref="J108" si="85">F108*I108</f>
        <v>32.551000000000002</v>
      </c>
      <c r="K108" s="136">
        <f t="shared" si="82"/>
        <v>39.061199999999999</v>
      </c>
      <c r="L108" s="138">
        <f t="shared" ref="L108" si="86">K108/$K$15</f>
        <v>2.1778137551419719E-4</v>
      </c>
    </row>
    <row r="109" spans="1:12" s="148" customFormat="1" ht="22.5">
      <c r="A109" s="132" t="s">
        <v>319</v>
      </c>
      <c r="B109" s="132" t="s">
        <v>62</v>
      </c>
      <c r="C109" s="132" t="s">
        <v>284</v>
      </c>
      <c r="D109" s="168" t="s">
        <v>285</v>
      </c>
      <c r="E109" s="132" t="s">
        <v>55</v>
      </c>
      <c r="F109" s="134">
        <v>2</v>
      </c>
      <c r="G109" s="134">
        <v>146.97999999999999</v>
      </c>
      <c r="H109" s="135">
        <v>11.73</v>
      </c>
      <c r="I109" s="136">
        <f t="shared" si="80"/>
        <v>158.70999999999998</v>
      </c>
      <c r="J109" s="137">
        <f t="shared" ref="J109" si="87">F109*I109</f>
        <v>317.41999999999996</v>
      </c>
      <c r="K109" s="136">
        <f t="shared" ref="K109" si="88">J109+J109*$K$9</f>
        <v>380.90399999999994</v>
      </c>
      <c r="L109" s="138">
        <f t="shared" ref="L109" si="89">K109/$K$15</f>
        <v>2.1236878810394909E-3</v>
      </c>
    </row>
    <row r="110" spans="1:12" s="148" customFormat="1" ht="15" customHeight="1">
      <c r="A110" s="132" t="s">
        <v>320</v>
      </c>
      <c r="B110" s="132" t="s">
        <v>62</v>
      </c>
      <c r="C110" s="132" t="s">
        <v>37</v>
      </c>
      <c r="D110" s="168" t="s">
        <v>38</v>
      </c>
      <c r="E110" s="132" t="s">
        <v>55</v>
      </c>
      <c r="F110" s="134">
        <f>25.09*2</f>
        <v>50.18</v>
      </c>
      <c r="G110" s="176" t="s">
        <v>8</v>
      </c>
      <c r="H110" s="135">
        <v>12.35</v>
      </c>
      <c r="I110" s="136">
        <f>H110</f>
        <v>12.35</v>
      </c>
      <c r="J110" s="137">
        <f t="shared" si="74"/>
        <v>619.72299999999996</v>
      </c>
      <c r="K110" s="136">
        <f>J110+J110*$K$9</f>
        <v>743.66759999999999</v>
      </c>
      <c r="L110" s="138">
        <f>K110/$K$15</f>
        <v>4.1462359797789566E-3</v>
      </c>
    </row>
    <row r="111" spans="1:12" ht="15" customHeight="1"/>
    <row r="112" spans="1:12" s="71" customFormat="1" ht="15" customHeight="1">
      <c r="A112" s="222" t="s">
        <v>330</v>
      </c>
      <c r="B112" s="222"/>
      <c r="C112" s="222"/>
      <c r="D112" s="59"/>
      <c r="E112" s="59"/>
      <c r="F112" s="59"/>
      <c r="G112" s="59"/>
      <c r="I112" s="59"/>
      <c r="J112" s="60"/>
      <c r="K112" s="59"/>
      <c r="L112" s="61"/>
    </row>
    <row r="113" spans="1:14" s="71" customFormat="1" ht="15" customHeight="1">
      <c r="A113" s="59"/>
      <c r="B113" s="59"/>
      <c r="C113" s="59"/>
      <c r="D113" s="59"/>
      <c r="E113" s="59"/>
      <c r="F113" s="59"/>
      <c r="G113" s="59"/>
      <c r="H113" s="59"/>
      <c r="I113" s="59"/>
      <c r="J113" s="60"/>
      <c r="K113" s="59"/>
      <c r="L113" s="61"/>
    </row>
    <row r="114" spans="1:14" s="71" customFormat="1" ht="15" customHeight="1">
      <c r="A114" s="59"/>
      <c r="B114" s="59"/>
      <c r="C114" s="59"/>
      <c r="D114" s="59"/>
      <c r="E114" s="59"/>
      <c r="F114" s="59"/>
      <c r="G114" s="59"/>
      <c r="H114" s="59"/>
      <c r="I114" s="59"/>
      <c r="J114" s="60"/>
      <c r="K114" s="59"/>
      <c r="L114" s="61"/>
    </row>
    <row r="115" spans="1:14" ht="15" customHeight="1">
      <c r="D115" s="223" t="s">
        <v>192</v>
      </c>
      <c r="E115" s="223"/>
      <c r="F115" s="223"/>
      <c r="G115" s="223"/>
      <c r="H115" s="223"/>
      <c r="I115" s="223"/>
      <c r="J115" s="177"/>
      <c r="K115" s="177"/>
      <c r="L115" s="177"/>
      <c r="M115" s="177"/>
      <c r="N115" s="177"/>
    </row>
    <row r="116" spans="1:14" ht="15" customHeight="1">
      <c r="D116" s="224" t="s">
        <v>193</v>
      </c>
      <c r="E116" s="224"/>
      <c r="F116" s="224"/>
      <c r="G116" s="224"/>
      <c r="H116" s="224"/>
      <c r="I116" s="224"/>
      <c r="J116" s="178"/>
      <c r="K116" s="178"/>
      <c r="L116" s="178"/>
      <c r="M116" s="178"/>
      <c r="N116" s="178"/>
    </row>
    <row r="117" spans="1:14">
      <c r="D117" s="224" t="s">
        <v>194</v>
      </c>
      <c r="E117" s="224"/>
      <c r="F117" s="224"/>
      <c r="G117" s="224"/>
      <c r="H117" s="224"/>
      <c r="I117" s="224"/>
      <c r="J117" s="178"/>
      <c r="K117" s="178"/>
      <c r="L117" s="178"/>
      <c r="M117" s="178"/>
      <c r="N117" s="178"/>
    </row>
  </sheetData>
  <mergeCells count="33">
    <mergeCell ref="A112:C112"/>
    <mergeCell ref="D115:I115"/>
    <mergeCell ref="D116:I116"/>
    <mergeCell ref="D117:I117"/>
    <mergeCell ref="L12:L13"/>
    <mergeCell ref="J12:J13"/>
    <mergeCell ref="K12:K13"/>
    <mergeCell ref="F12:F13"/>
    <mergeCell ref="A1:L1"/>
    <mergeCell ref="A2:L2"/>
    <mergeCell ref="A3:L3"/>
    <mergeCell ref="A4:L4"/>
    <mergeCell ref="A5:L5"/>
    <mergeCell ref="B6:H6"/>
    <mergeCell ref="A7:H7"/>
    <mergeCell ref="A8:H8"/>
    <mergeCell ref="A9:H9"/>
    <mergeCell ref="A10:H10"/>
    <mergeCell ref="I8:J8"/>
    <mergeCell ref="A12:A13"/>
    <mergeCell ref="B26:C26"/>
    <mergeCell ref="D26:I26"/>
    <mergeCell ref="B31:C31"/>
    <mergeCell ref="D31:I31"/>
    <mergeCell ref="I12:I13"/>
    <mergeCell ref="D17:I17"/>
    <mergeCell ref="B17:C17"/>
    <mergeCell ref="B12:B13"/>
    <mergeCell ref="C12:C13"/>
    <mergeCell ref="D12:D13"/>
    <mergeCell ref="E12:E13"/>
    <mergeCell ref="G12:G13"/>
    <mergeCell ref="H12:H13"/>
  </mergeCells>
  <pageMargins left="0.511811024" right="0.511811024" top="0.78740157499999996" bottom="0.78740157499999996" header="0.31496062000000002" footer="0.31496062000000002"/>
  <pageSetup paperSize="9" scale="82" fitToHeight="0" orientation="landscape" verticalDpi="300" r:id="rId1"/>
  <rowBreaks count="3" manualBreakCount="3">
    <brk id="35" max="16383" man="1"/>
    <brk id="65" max="16383" man="1"/>
    <brk id="9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view="pageBreakPreview" topLeftCell="A13" zoomScale="115" zoomScaleNormal="40" zoomScaleSheetLayoutView="115" workbookViewId="0">
      <selection activeCell="O37" sqref="O37"/>
    </sheetView>
  </sheetViews>
  <sheetFormatPr defaultRowHeight="15"/>
  <cols>
    <col min="2" max="2" width="35.85546875" customWidth="1"/>
    <col min="3" max="3" width="21.5703125" customWidth="1"/>
    <col min="6" max="6" width="0.140625" customWidth="1"/>
    <col min="7" max="7" width="9.140625" hidden="1" customWidth="1"/>
    <col min="8" max="8" width="14.28515625" customWidth="1"/>
    <col min="11" max="11" width="0.140625" customWidth="1"/>
    <col min="12" max="12" width="1.5703125" hidden="1" customWidth="1"/>
    <col min="13" max="13" width="16.85546875" customWidth="1"/>
  </cols>
  <sheetData>
    <row r="1" spans="1:13">
      <c r="A1" s="181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4"/>
    </row>
    <row r="2" spans="1:13" ht="18.75">
      <c r="A2" s="241" t="s">
        <v>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3"/>
    </row>
    <row r="3" spans="1:13" ht="15.75">
      <c r="A3" s="244" t="s">
        <v>175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6"/>
    </row>
    <row r="4" spans="1:13" ht="15.75">
      <c r="A4" s="244" t="s">
        <v>176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6"/>
    </row>
    <row r="5" spans="1:13" ht="15.75">
      <c r="A5" s="244" t="s">
        <v>177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6"/>
    </row>
    <row r="6" spans="1:13">
      <c r="A6" s="229" t="s">
        <v>178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1"/>
    </row>
    <row r="7" spans="1:13">
      <c r="A7" s="229" t="s">
        <v>179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1"/>
    </row>
    <row r="8" spans="1:13" ht="15.75" thickBot="1">
      <c r="A8" s="232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4"/>
    </row>
    <row r="9" spans="1:13" ht="20.25" thickTop="1" thickBot="1">
      <c r="A9" s="235" t="s">
        <v>180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7"/>
    </row>
    <row r="10" spans="1:13" ht="16.5" thickTop="1">
      <c r="A10" s="238" t="s">
        <v>291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40"/>
    </row>
    <row r="11" spans="1:13" ht="15.75">
      <c r="A11" s="247" t="s">
        <v>290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9"/>
    </row>
    <row r="12" spans="1:13" ht="15.75">
      <c r="A12" s="250" t="s">
        <v>92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183"/>
      <c r="M12" s="185" t="s">
        <v>279</v>
      </c>
    </row>
    <row r="13" spans="1:13" ht="16.5" thickBot="1">
      <c r="A13" s="97" t="s">
        <v>3</v>
      </c>
      <c r="B13" s="97" t="s">
        <v>181</v>
      </c>
      <c r="C13" s="98" t="s">
        <v>182</v>
      </c>
      <c r="D13" s="252" t="s">
        <v>183</v>
      </c>
      <c r="E13" s="253"/>
      <c r="F13" s="253"/>
      <c r="G13" s="254"/>
      <c r="H13" s="99"/>
      <c r="I13" s="252" t="s">
        <v>184</v>
      </c>
      <c r="J13" s="253"/>
      <c r="K13" s="253"/>
      <c r="L13" s="254"/>
      <c r="M13" s="99"/>
    </row>
    <row r="14" spans="1:13" ht="17.25" customHeight="1" thickTop="1" thickBot="1">
      <c r="A14" s="255">
        <f>'[1]PLANILHA ORÇ'!A13</f>
        <v>1</v>
      </c>
      <c r="B14" s="256" t="s">
        <v>280</v>
      </c>
      <c r="C14" s="262">
        <f>Planilha!K17</f>
        <v>22176.44196</v>
      </c>
      <c r="D14" s="190"/>
      <c r="E14" s="190"/>
      <c r="F14" s="106"/>
      <c r="G14" s="106"/>
      <c r="H14" s="103">
        <f>D15*$C14</f>
        <v>8870.5767840000008</v>
      </c>
      <c r="I14" s="189"/>
      <c r="J14" s="189"/>
      <c r="K14" s="106"/>
      <c r="L14" s="102"/>
      <c r="M14" s="103">
        <f>I15*$C14</f>
        <v>13305.865175999999</v>
      </c>
    </row>
    <row r="15" spans="1:13" ht="17.25" thickTop="1" thickBot="1">
      <c r="A15" s="255"/>
      <c r="B15" s="257"/>
      <c r="C15" s="263"/>
      <c r="D15" s="264">
        <v>0.4</v>
      </c>
      <c r="E15" s="265"/>
      <c r="F15" s="265"/>
      <c r="G15" s="266"/>
      <c r="H15" s="104">
        <f>H14/$C$32</f>
        <v>4.9456914114871631E-2</v>
      </c>
      <c r="I15" s="259">
        <v>0.6</v>
      </c>
      <c r="J15" s="260"/>
      <c r="K15" s="260"/>
      <c r="L15" s="261"/>
      <c r="M15" s="105">
        <f>M14/$C$32</f>
        <v>7.4185371172307446E-2</v>
      </c>
    </row>
    <row r="16" spans="1:13" ht="17.25" thickTop="1" thickBot="1">
      <c r="A16" s="255">
        <f>'[1]PLANILHA ORÇ'!A22</f>
        <v>2</v>
      </c>
      <c r="B16" s="256" t="s">
        <v>120</v>
      </c>
      <c r="C16" s="258">
        <f>Planilha!K26</f>
        <v>15496.42884</v>
      </c>
      <c r="D16" s="106"/>
      <c r="E16" s="186" t="s">
        <v>293</v>
      </c>
      <c r="F16" s="106"/>
      <c r="G16" s="106"/>
      <c r="H16" s="103">
        <f>D17*$C16</f>
        <v>0</v>
      </c>
      <c r="I16" s="189"/>
      <c r="J16" s="101"/>
      <c r="K16" s="100"/>
      <c r="L16" s="188"/>
      <c r="M16" s="103">
        <f>I17*$C16</f>
        <v>15496.42884</v>
      </c>
    </row>
    <row r="17" spans="1:13" ht="17.25" thickTop="1" thickBot="1">
      <c r="A17" s="255"/>
      <c r="B17" s="257"/>
      <c r="C17" s="258"/>
      <c r="D17" s="259">
        <v>0</v>
      </c>
      <c r="E17" s="260"/>
      <c r="F17" s="260"/>
      <c r="G17" s="261"/>
      <c r="H17" s="105">
        <f>H16/$C$32</f>
        <v>0</v>
      </c>
      <c r="I17" s="259">
        <v>1</v>
      </c>
      <c r="J17" s="260"/>
      <c r="K17" s="260"/>
      <c r="L17" s="261"/>
      <c r="M17" s="105">
        <f>M16/$C$32</f>
        <v>8.639861520724082E-2</v>
      </c>
    </row>
    <row r="18" spans="1:13" ht="17.25" thickTop="1" thickBot="1">
      <c r="A18" s="255">
        <f>'[1]PLANILHA ORÇ'!A34</f>
        <v>3</v>
      </c>
      <c r="B18" s="256" t="s">
        <v>121</v>
      </c>
      <c r="C18" s="258">
        <f>Planilha!K31</f>
        <v>3096.5289600000006</v>
      </c>
      <c r="D18" s="189"/>
      <c r="E18" s="189"/>
      <c r="F18" s="106"/>
      <c r="G18" s="106"/>
      <c r="H18" s="103">
        <f>D19*$C18</f>
        <v>3096.5289600000006</v>
      </c>
      <c r="I18" s="187"/>
      <c r="J18" s="106"/>
      <c r="K18" s="186" t="s">
        <v>293</v>
      </c>
      <c r="L18" s="106"/>
      <c r="M18" s="103">
        <f>I19*$C18</f>
        <v>0</v>
      </c>
    </row>
    <row r="19" spans="1:13" ht="17.25" thickTop="1" thickBot="1">
      <c r="A19" s="255"/>
      <c r="B19" s="257"/>
      <c r="C19" s="258"/>
      <c r="D19" s="259">
        <v>1</v>
      </c>
      <c r="E19" s="260"/>
      <c r="F19" s="260"/>
      <c r="G19" s="261"/>
      <c r="H19" s="105">
        <f>H18/$C$32</f>
        <v>1.7264352765105698E-2</v>
      </c>
      <c r="I19" s="259">
        <v>0</v>
      </c>
      <c r="J19" s="260"/>
      <c r="K19" s="260"/>
      <c r="L19" s="261"/>
      <c r="M19" s="105">
        <f>M18/$C$32</f>
        <v>0</v>
      </c>
    </row>
    <row r="20" spans="1:13" ht="17.25" thickTop="1" thickBot="1">
      <c r="A20" s="255">
        <f>'[1]PLANILHA ORÇ'!A43</f>
        <v>4</v>
      </c>
      <c r="B20" s="256" t="s">
        <v>281</v>
      </c>
      <c r="C20" s="262">
        <f>Planilha!K36</f>
        <v>7365.577851</v>
      </c>
      <c r="D20" s="190"/>
      <c r="E20" s="189"/>
      <c r="F20" s="106"/>
      <c r="G20" s="188"/>
      <c r="H20" s="103">
        <f>D21*$C20</f>
        <v>7070.9547369599995</v>
      </c>
      <c r="I20" s="190"/>
      <c r="J20" s="189"/>
      <c r="K20" s="106"/>
      <c r="L20" s="188"/>
      <c r="M20" s="103">
        <f>I21*$C20</f>
        <v>294.62311404000002</v>
      </c>
    </row>
    <row r="21" spans="1:13" ht="17.25" thickTop="1" thickBot="1">
      <c r="A21" s="255"/>
      <c r="B21" s="257"/>
      <c r="C21" s="263"/>
      <c r="D21" s="259">
        <v>0.96</v>
      </c>
      <c r="E21" s="260"/>
      <c r="F21" s="260"/>
      <c r="G21" s="261"/>
      <c r="H21" s="105">
        <f>H20/$C$32</f>
        <v>3.9423321577774804E-2</v>
      </c>
      <c r="I21" s="264">
        <v>0.04</v>
      </c>
      <c r="J21" s="265"/>
      <c r="K21" s="265"/>
      <c r="L21" s="266"/>
      <c r="M21" s="105">
        <f>M20/$C$32</f>
        <v>1.6426383990739504E-3</v>
      </c>
    </row>
    <row r="22" spans="1:13" ht="17.25" thickTop="1" thickBot="1">
      <c r="A22" s="255">
        <f>'[1]PLANILHA ORÇ'!A58</f>
        <v>5</v>
      </c>
      <c r="B22" s="256" t="s">
        <v>282</v>
      </c>
      <c r="C22" s="262">
        <f>Planilha!K50</f>
        <v>8571.964680000001</v>
      </c>
      <c r="D22" s="187"/>
      <c r="E22" s="189"/>
      <c r="F22" s="187"/>
      <c r="G22" s="106"/>
      <c r="H22" s="103">
        <f>D23*$C22</f>
        <v>6000.3752760000007</v>
      </c>
      <c r="I22" s="190"/>
      <c r="J22" s="189"/>
      <c r="K22" s="106"/>
      <c r="L22" s="188"/>
      <c r="M22" s="103">
        <f>I23*$C22</f>
        <v>2571.5894040000003</v>
      </c>
    </row>
    <row r="23" spans="1:13" ht="17.25" thickTop="1" thickBot="1">
      <c r="A23" s="255"/>
      <c r="B23" s="257"/>
      <c r="C23" s="263"/>
      <c r="D23" s="259">
        <v>0.7</v>
      </c>
      <c r="E23" s="260"/>
      <c r="F23" s="260"/>
      <c r="G23" s="261"/>
      <c r="H23" s="105">
        <f>H22/$C$32</f>
        <v>3.3454424882201794E-2</v>
      </c>
      <c r="I23" s="259">
        <v>0.3</v>
      </c>
      <c r="J23" s="260"/>
      <c r="K23" s="260"/>
      <c r="L23" s="261"/>
      <c r="M23" s="105">
        <f>M22/$C$32</f>
        <v>1.433761066380077E-2</v>
      </c>
    </row>
    <row r="24" spans="1:13" ht="17.25" thickTop="1" thickBot="1">
      <c r="A24" s="255">
        <f>'[1]PLANILHA ORÇ'!A66</f>
        <v>6</v>
      </c>
      <c r="B24" s="256" t="s">
        <v>283</v>
      </c>
      <c r="C24" s="262">
        <f>Planilha!K66</f>
        <v>28877.391564000005</v>
      </c>
      <c r="D24" s="187"/>
      <c r="E24" s="106"/>
      <c r="F24" s="187"/>
      <c r="G24" s="106"/>
      <c r="H24" s="103">
        <f>D25*$C24</f>
        <v>0</v>
      </c>
      <c r="J24" s="190"/>
      <c r="K24" s="100"/>
      <c r="L24" s="106"/>
      <c r="M24" s="131">
        <f>I25*$C24</f>
        <v>28877.391564000005</v>
      </c>
    </row>
    <row r="25" spans="1:13" ht="17.25" thickTop="1" thickBot="1">
      <c r="A25" s="255"/>
      <c r="B25" s="257"/>
      <c r="C25" s="263"/>
      <c r="D25" s="259">
        <v>0</v>
      </c>
      <c r="E25" s="260"/>
      <c r="F25" s="260"/>
      <c r="G25" s="261"/>
      <c r="H25" s="105">
        <f>H24/$C$32</f>
        <v>0</v>
      </c>
      <c r="I25" s="259">
        <v>1</v>
      </c>
      <c r="J25" s="260"/>
      <c r="K25" s="260"/>
      <c r="L25" s="261"/>
      <c r="M25" s="105">
        <f>M24/$C$32</f>
        <v>0.16100268440472887</v>
      </c>
    </row>
    <row r="26" spans="1:13" ht="17.25" thickTop="1" thickBot="1">
      <c r="A26" s="255">
        <f>'[1]PLANILHA ORÇ'!A73</f>
        <v>7</v>
      </c>
      <c r="B26" s="256" t="s">
        <v>162</v>
      </c>
      <c r="C26" s="262">
        <f>Planilha!K74</f>
        <v>81153.621251612931</v>
      </c>
      <c r="D26" s="189"/>
      <c r="E26" s="191"/>
      <c r="F26" s="106"/>
      <c r="G26" s="188"/>
      <c r="H26" s="103">
        <f>D27*$C26</f>
        <v>8115.3621251612931</v>
      </c>
      <c r="I26" s="189"/>
      <c r="J26" s="191"/>
      <c r="K26" s="106"/>
      <c r="L26" s="188"/>
      <c r="M26" s="131">
        <f>I27*$C26</f>
        <v>73038.259126451638</v>
      </c>
    </row>
    <row r="27" spans="1:13" ht="17.25" thickTop="1" thickBot="1">
      <c r="A27" s="255"/>
      <c r="B27" s="257"/>
      <c r="C27" s="263"/>
      <c r="D27" s="259">
        <v>0.1</v>
      </c>
      <c r="E27" s="260"/>
      <c r="F27" s="260"/>
      <c r="G27" s="261"/>
      <c r="H27" s="105">
        <f>H26/$C$32</f>
        <v>4.5246298793008025E-2</v>
      </c>
      <c r="I27" s="259">
        <v>0.9</v>
      </c>
      <c r="J27" s="260"/>
      <c r="K27" s="260"/>
      <c r="L27" s="261"/>
      <c r="M27" s="105">
        <f>M26/$C$32</f>
        <v>0.40721668913707221</v>
      </c>
    </row>
    <row r="28" spans="1:13" ht="17.25" thickTop="1" thickBot="1">
      <c r="A28" s="255">
        <f>'[1]PLANILHA ORÇ'!A84</f>
        <v>8</v>
      </c>
      <c r="B28" s="256" t="s">
        <v>97</v>
      </c>
      <c r="C28" s="262">
        <f>Planilha!K87</f>
        <v>3609.8841600000001</v>
      </c>
      <c r="D28" s="190"/>
      <c r="E28" s="189"/>
      <c r="F28" s="106"/>
      <c r="G28" s="188"/>
      <c r="H28" s="103">
        <f>D29*$C28</f>
        <v>1804.94208</v>
      </c>
      <c r="I28" s="191"/>
      <c r="J28" s="188"/>
      <c r="K28" s="106"/>
      <c r="L28" s="188"/>
      <c r="M28" s="103">
        <f>I29*$C28</f>
        <v>1804.94208</v>
      </c>
    </row>
    <row r="29" spans="1:13" ht="17.25" thickTop="1" thickBot="1">
      <c r="A29" s="255"/>
      <c r="B29" s="257"/>
      <c r="C29" s="263"/>
      <c r="D29" s="259">
        <v>0.5</v>
      </c>
      <c r="E29" s="260"/>
      <c r="F29" s="260"/>
      <c r="G29" s="261"/>
      <c r="H29" s="105">
        <f>H28/$C$32</f>
        <v>1.0063253789076018E-2</v>
      </c>
      <c r="I29" s="259">
        <v>0.5</v>
      </c>
      <c r="J29" s="260"/>
      <c r="K29" s="260"/>
      <c r="L29" s="261"/>
      <c r="M29" s="105">
        <f>M28/$C$32</f>
        <v>1.0063253789076018E-2</v>
      </c>
    </row>
    <row r="30" spans="1:13" ht="17.25" thickTop="1" thickBot="1">
      <c r="A30" s="255">
        <f>'[1]PLANILHA ORÇ'!A97</f>
        <v>9</v>
      </c>
      <c r="B30" s="256" t="str">
        <f>'[1]PLANILHA ORÇ'!D97</f>
        <v xml:space="preserve">SERVIÇOS COMPLEMENTARES </v>
      </c>
      <c r="C30" s="262">
        <f>Planilha!K94</f>
        <v>9011.8537572000023</v>
      </c>
      <c r="D30" s="190"/>
      <c r="E30" s="191"/>
      <c r="F30" s="106"/>
      <c r="G30" s="188"/>
      <c r="H30" s="103">
        <f>D31*$C30</f>
        <v>4505.9268786000011</v>
      </c>
      <c r="I30" s="191"/>
      <c r="J30" s="191"/>
      <c r="K30" s="106"/>
      <c r="L30" s="188"/>
      <c r="M30" s="103">
        <f>I31*$C30</f>
        <v>4505.9268786000011</v>
      </c>
    </row>
    <row r="31" spans="1:13" ht="17.25" thickTop="1" thickBot="1">
      <c r="A31" s="255"/>
      <c r="B31" s="257"/>
      <c r="C31" s="263"/>
      <c r="D31" s="259">
        <v>0.5</v>
      </c>
      <c r="E31" s="260"/>
      <c r="F31" s="260"/>
      <c r="G31" s="261"/>
      <c r="H31" s="105">
        <f>H30/$C$32</f>
        <v>2.5122294081797315E-2</v>
      </c>
      <c r="I31" s="259">
        <v>0.5</v>
      </c>
      <c r="J31" s="260"/>
      <c r="K31" s="260"/>
      <c r="L31" s="261"/>
      <c r="M31" s="105">
        <f>M30/$C$32</f>
        <v>2.5122294081797315E-2</v>
      </c>
    </row>
    <row r="32" spans="1:13" ht="17.25" thickTop="1" thickBot="1">
      <c r="A32" s="267" t="s">
        <v>185</v>
      </c>
      <c r="B32" s="268"/>
      <c r="C32" s="107">
        <f>ROUNDDOWN(SUM(C14:C31),2)</f>
        <v>179359.69</v>
      </c>
      <c r="D32" s="269"/>
      <c r="E32" s="269"/>
      <c r="F32" s="269"/>
      <c r="G32" s="269"/>
      <c r="H32" s="108"/>
      <c r="I32" s="270"/>
      <c r="J32" s="270"/>
      <c r="K32" s="270"/>
      <c r="L32" s="270"/>
      <c r="M32" s="179"/>
    </row>
    <row r="33" spans="1:13" ht="17.25" thickTop="1" thickBot="1">
      <c r="A33" s="271" t="s">
        <v>186</v>
      </c>
      <c r="B33" s="109" t="s">
        <v>187</v>
      </c>
      <c r="C33" s="110"/>
      <c r="D33" s="273">
        <f>H15+H17+H19+H21+H23+H25+H27+H29+H31</f>
        <v>0.22003086000383529</v>
      </c>
      <c r="E33" s="273"/>
      <c r="F33" s="273"/>
      <c r="G33" s="273"/>
      <c r="H33" s="111"/>
      <c r="I33" s="273">
        <f>M15+M17+M19+M21+M23+M25+M27+M29+M31</f>
        <v>0.77996915685509738</v>
      </c>
      <c r="J33" s="273"/>
      <c r="K33" s="273"/>
      <c r="L33" s="273"/>
      <c r="M33" s="111"/>
    </row>
    <row r="34" spans="1:13" ht="17.25" thickTop="1" thickBot="1">
      <c r="A34" s="271"/>
      <c r="B34" s="112" t="s">
        <v>188</v>
      </c>
      <c r="C34" s="113"/>
      <c r="D34" s="274">
        <f>D33</f>
        <v>0.22003086000383529</v>
      </c>
      <c r="E34" s="274"/>
      <c r="F34" s="274"/>
      <c r="G34" s="274"/>
      <c r="H34" s="114"/>
      <c r="I34" s="274">
        <f>I33+D34</f>
        <v>1.0000000168589327</v>
      </c>
      <c r="J34" s="274"/>
      <c r="K34" s="274"/>
      <c r="L34" s="274"/>
      <c r="M34" s="114"/>
    </row>
    <row r="35" spans="1:13" ht="17.25" thickTop="1" thickBot="1">
      <c r="A35" s="271"/>
      <c r="B35" s="115" t="s">
        <v>189</v>
      </c>
      <c r="C35" s="110"/>
      <c r="D35" s="275">
        <f>H14+H16+H18+H20+H22+H24+H26+H28+H30</f>
        <v>39464.6668407213</v>
      </c>
      <c r="E35" s="276"/>
      <c r="F35" s="276"/>
      <c r="G35" s="277"/>
      <c r="H35" s="116"/>
      <c r="I35" s="275">
        <f>M14+M16+M18+M20+M22+M24+M26+M28+M30</f>
        <v>139895.02618309166</v>
      </c>
      <c r="J35" s="276"/>
      <c r="K35" s="276"/>
      <c r="L35" s="277"/>
      <c r="M35" s="116"/>
    </row>
    <row r="36" spans="1:13" ht="17.25" thickTop="1" thickBot="1">
      <c r="A36" s="271"/>
      <c r="B36" s="117" t="s">
        <v>190</v>
      </c>
      <c r="C36" s="113"/>
      <c r="D36" s="258">
        <f>D35</f>
        <v>39464.6668407213</v>
      </c>
      <c r="E36" s="258"/>
      <c r="F36" s="258"/>
      <c r="G36" s="258"/>
      <c r="H36" s="118"/>
      <c r="I36" s="283">
        <f>ROUNDDOWN(D36+I35,2)</f>
        <v>179359.69</v>
      </c>
      <c r="J36" s="284"/>
      <c r="K36" s="284"/>
      <c r="L36" s="285"/>
      <c r="M36" s="118"/>
    </row>
    <row r="37" spans="1:13" ht="17.25" thickTop="1" thickBot="1">
      <c r="A37" s="272"/>
      <c r="B37" s="278" t="s">
        <v>191</v>
      </c>
      <c r="C37" s="279"/>
      <c r="D37" s="279"/>
      <c r="E37" s="279"/>
      <c r="F37" s="279"/>
      <c r="G37" s="279"/>
      <c r="H37" s="279"/>
      <c r="I37" s="280">
        <f>I36</f>
        <v>179359.69</v>
      </c>
      <c r="J37" s="281"/>
      <c r="K37" s="281"/>
      <c r="L37" s="282"/>
      <c r="M37" s="180"/>
    </row>
    <row r="38" spans="1:13" ht="16.5" thickTop="1">
      <c r="A38" s="119"/>
      <c r="B38" s="119"/>
      <c r="C38" s="119"/>
      <c r="D38" s="119"/>
      <c r="E38" s="119"/>
      <c r="F38" s="119"/>
      <c r="G38" s="119"/>
      <c r="H38" s="120"/>
      <c r="I38" s="119"/>
      <c r="J38" s="119"/>
      <c r="K38" s="119"/>
      <c r="L38" s="119"/>
      <c r="M38" s="120"/>
    </row>
    <row r="39" spans="1:13" ht="15.75">
      <c r="A39" s="287" t="str">
        <f>Planilha!A112</f>
        <v>Itatinga, 07deagosto 2023</v>
      </c>
      <c r="B39" s="287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</row>
    <row r="40" spans="1:13" ht="15.75">
      <c r="A40" s="121"/>
      <c r="B40" s="121"/>
      <c r="C40" s="121"/>
      <c r="D40" s="122"/>
      <c r="E40" s="121"/>
      <c r="F40" s="123"/>
      <c r="G40" s="288"/>
      <c r="H40" s="288"/>
      <c r="I40" s="288"/>
      <c r="J40" s="289"/>
      <c r="K40" s="289"/>
      <c r="L40" s="119"/>
      <c r="M40" s="120"/>
    </row>
    <row r="41" spans="1:13">
      <c r="A41" s="223" t="s">
        <v>192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</row>
    <row r="42" spans="1:13">
      <c r="A42" s="224" t="s">
        <v>193</v>
      </c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</row>
    <row r="43" spans="1:13">
      <c r="A43" s="224" t="s">
        <v>194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</row>
    <row r="44" spans="1:13" ht="15.75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</row>
    <row r="45" spans="1:13">
      <c r="A45" s="124"/>
      <c r="B45" s="124"/>
      <c r="C45" s="124"/>
      <c r="D45" s="124"/>
      <c r="E45" s="124"/>
      <c r="F45" s="124"/>
      <c r="G45" s="124"/>
      <c r="H45" s="125"/>
      <c r="I45" s="124"/>
      <c r="J45" s="124"/>
      <c r="K45" s="124"/>
      <c r="L45" s="124"/>
      <c r="M45" s="125"/>
    </row>
    <row r="46" spans="1:13">
      <c r="A46" s="124"/>
      <c r="B46" s="124"/>
      <c r="C46" s="124"/>
      <c r="D46" s="124"/>
      <c r="E46" s="124"/>
      <c r="F46" s="124"/>
      <c r="G46" s="124"/>
      <c r="H46" s="125"/>
      <c r="I46" s="124"/>
      <c r="J46" s="124"/>
      <c r="K46" s="124"/>
      <c r="L46" s="124"/>
      <c r="M46" s="125"/>
    </row>
  </sheetData>
  <mergeCells count="79">
    <mergeCell ref="A44:M44"/>
    <mergeCell ref="A42:M42"/>
    <mergeCell ref="A43:M43"/>
    <mergeCell ref="A39:M39"/>
    <mergeCell ref="G40:I40"/>
    <mergeCell ref="J40:K40"/>
    <mergeCell ref="A41:M41"/>
    <mergeCell ref="A33:A37"/>
    <mergeCell ref="D33:G33"/>
    <mergeCell ref="I33:L33"/>
    <mergeCell ref="D34:G34"/>
    <mergeCell ref="I34:L34"/>
    <mergeCell ref="D35:G35"/>
    <mergeCell ref="B37:H37"/>
    <mergeCell ref="I37:L37"/>
    <mergeCell ref="I35:L35"/>
    <mergeCell ref="D36:G36"/>
    <mergeCell ref="I36:L36"/>
    <mergeCell ref="A32:B32"/>
    <mergeCell ref="D32:G32"/>
    <mergeCell ref="I32:L32"/>
    <mergeCell ref="A30:A31"/>
    <mergeCell ref="B30:B31"/>
    <mergeCell ref="C30:C31"/>
    <mergeCell ref="D31:G31"/>
    <mergeCell ref="I31:L31"/>
    <mergeCell ref="A28:A29"/>
    <mergeCell ref="B28:B29"/>
    <mergeCell ref="C28:C29"/>
    <mergeCell ref="D29:G29"/>
    <mergeCell ref="I29:L29"/>
    <mergeCell ref="A26:A27"/>
    <mergeCell ref="B26:B27"/>
    <mergeCell ref="C26:C27"/>
    <mergeCell ref="D27:G27"/>
    <mergeCell ref="I27:L27"/>
    <mergeCell ref="A24:A25"/>
    <mergeCell ref="B24:B25"/>
    <mergeCell ref="C24:C25"/>
    <mergeCell ref="D25:G25"/>
    <mergeCell ref="I25:L25"/>
    <mergeCell ref="A22:A23"/>
    <mergeCell ref="B22:B23"/>
    <mergeCell ref="C22:C23"/>
    <mergeCell ref="D23:G23"/>
    <mergeCell ref="I23:L23"/>
    <mergeCell ref="A20:A21"/>
    <mergeCell ref="B20:B21"/>
    <mergeCell ref="C20:C21"/>
    <mergeCell ref="D21:G21"/>
    <mergeCell ref="I21:L21"/>
    <mergeCell ref="A18:A19"/>
    <mergeCell ref="B18:B19"/>
    <mergeCell ref="C18:C19"/>
    <mergeCell ref="D19:G19"/>
    <mergeCell ref="I19:L19"/>
    <mergeCell ref="A11:M11"/>
    <mergeCell ref="A12:K12"/>
    <mergeCell ref="D13:G13"/>
    <mergeCell ref="I13:L13"/>
    <mergeCell ref="A16:A17"/>
    <mergeCell ref="B16:B17"/>
    <mergeCell ref="C16:C17"/>
    <mergeCell ref="D17:G17"/>
    <mergeCell ref="I17:L17"/>
    <mergeCell ref="A14:A15"/>
    <mergeCell ref="B14:B15"/>
    <mergeCell ref="C14:C15"/>
    <mergeCell ref="D15:G15"/>
    <mergeCell ref="I15:L15"/>
    <mergeCell ref="A7:M7"/>
    <mergeCell ref="A8:M8"/>
    <mergeCell ref="A9:M9"/>
    <mergeCell ref="A10:M10"/>
    <mergeCell ref="A2:M2"/>
    <mergeCell ref="A3:M3"/>
    <mergeCell ref="A4:M4"/>
    <mergeCell ref="A5:M5"/>
    <mergeCell ref="A6:M6"/>
  </mergeCells>
  <pageMargins left="0.7" right="0.7" top="0.75" bottom="0.75" header="0.3" footer="0.3"/>
  <pageSetup paperSize="9" scale="6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0"/>
  <sheetViews>
    <sheetView zoomScale="70" zoomScaleNormal="70" workbookViewId="0">
      <selection activeCell="I46" sqref="I46"/>
    </sheetView>
  </sheetViews>
  <sheetFormatPr defaultRowHeight="15"/>
  <cols>
    <col min="1" max="1" width="33.42578125" customWidth="1"/>
    <col min="11" max="11" width="18" customWidth="1"/>
    <col min="12" max="12" width="15.7109375" customWidth="1"/>
  </cols>
  <sheetData>
    <row r="2" spans="1:19">
      <c r="A2" s="290" t="s">
        <v>67</v>
      </c>
      <c r="B2" s="290"/>
      <c r="C2" s="290"/>
      <c r="F2" s="85" t="s">
        <v>76</v>
      </c>
      <c r="G2" s="85"/>
      <c r="I2" s="293" t="s">
        <v>141</v>
      </c>
      <c r="J2" s="293"/>
      <c r="K2" s="293"/>
      <c r="L2" s="293"/>
      <c r="M2" s="293"/>
      <c r="N2" s="293"/>
      <c r="O2" s="293"/>
      <c r="P2" s="293"/>
      <c r="Q2" s="293"/>
      <c r="R2" s="293"/>
    </row>
    <row r="3" spans="1:19">
      <c r="F3" s="84">
        <f>2.15*0.8*4</f>
        <v>6.88</v>
      </c>
      <c r="G3" s="84" t="s">
        <v>57</v>
      </c>
      <c r="I3" s="291" t="s">
        <v>112</v>
      </c>
      <c r="J3" s="292"/>
      <c r="K3" s="291" t="s">
        <v>142</v>
      </c>
      <c r="L3" s="292"/>
      <c r="M3" s="291" t="s">
        <v>113</v>
      </c>
      <c r="N3" s="292"/>
      <c r="O3" s="93" t="s">
        <v>114</v>
      </c>
      <c r="P3" s="93"/>
      <c r="Q3" s="291" t="s">
        <v>109</v>
      </c>
      <c r="R3" s="292"/>
    </row>
    <row r="4" spans="1:19">
      <c r="A4" t="s">
        <v>68</v>
      </c>
      <c r="B4" s="70">
        <f>(0.8+0.8+2.1)*2</f>
        <v>7.4</v>
      </c>
      <c r="C4" t="s">
        <v>56</v>
      </c>
      <c r="I4" s="84"/>
      <c r="J4" s="84"/>
      <c r="K4" s="95">
        <v>18.170000000000002</v>
      </c>
      <c r="L4" s="84" t="s">
        <v>57</v>
      </c>
      <c r="M4" s="84"/>
      <c r="N4" s="88"/>
      <c r="O4" s="84">
        <v>23.3</v>
      </c>
      <c r="P4" s="84" t="s">
        <v>56</v>
      </c>
      <c r="Q4" s="84">
        <v>23.3</v>
      </c>
      <c r="R4" s="84" t="s">
        <v>56</v>
      </c>
      <c r="S4" t="s">
        <v>157</v>
      </c>
    </row>
    <row r="5" spans="1:19">
      <c r="I5" s="84">
        <v>19.329999999999998</v>
      </c>
      <c r="J5" s="84" t="s">
        <v>56</v>
      </c>
      <c r="K5">
        <v>18.77</v>
      </c>
      <c r="L5" s="84" t="s">
        <v>57</v>
      </c>
      <c r="M5" s="84">
        <v>22.24</v>
      </c>
      <c r="N5" s="88" t="s">
        <v>56</v>
      </c>
      <c r="O5" s="84">
        <v>25</v>
      </c>
      <c r="P5" s="84" t="s">
        <v>56</v>
      </c>
      <c r="Q5" s="84">
        <v>25</v>
      </c>
      <c r="R5" s="84" t="s">
        <v>56</v>
      </c>
    </row>
    <row r="6" spans="1:19">
      <c r="I6" s="84">
        <v>19.309999999999999</v>
      </c>
      <c r="J6" s="84" t="s">
        <v>56</v>
      </c>
      <c r="K6">
        <v>24.99</v>
      </c>
      <c r="L6" s="84" t="s">
        <v>57</v>
      </c>
      <c r="M6" s="84">
        <v>23.7</v>
      </c>
      <c r="N6" s="88" t="s">
        <v>56</v>
      </c>
      <c r="O6" s="84">
        <v>40</v>
      </c>
      <c r="P6" s="84" t="s">
        <v>56</v>
      </c>
      <c r="Q6" s="84">
        <v>40</v>
      </c>
      <c r="R6" s="84" t="s">
        <v>56</v>
      </c>
    </row>
    <row r="7" spans="1:19">
      <c r="I7" s="84">
        <f>SUM(I5:I6)</f>
        <v>38.64</v>
      </c>
      <c r="J7" s="84" t="s">
        <v>56</v>
      </c>
      <c r="K7" s="84">
        <f>(29.29-18.19)</f>
        <v>11.099999999999998</v>
      </c>
      <c r="L7" s="84" t="s">
        <v>57</v>
      </c>
      <c r="M7" s="94">
        <f>SUM(M5:M6)</f>
        <v>45.94</v>
      </c>
      <c r="N7" s="94" t="s">
        <v>56</v>
      </c>
      <c r="O7" s="84">
        <v>40</v>
      </c>
      <c r="P7" s="84" t="s">
        <v>56</v>
      </c>
      <c r="Q7" s="84">
        <v>40</v>
      </c>
      <c r="R7" s="84" t="s">
        <v>56</v>
      </c>
    </row>
    <row r="8" spans="1:19">
      <c r="I8" s="86">
        <f>I7*3</f>
        <v>115.92</v>
      </c>
      <c r="J8" s="86" t="s">
        <v>57</v>
      </c>
      <c r="K8" s="84">
        <f>33.88-24.99</f>
        <v>8.8900000000000041</v>
      </c>
      <c r="L8" s="84" t="s">
        <v>57</v>
      </c>
      <c r="M8" s="87">
        <f>M7*0.75*2</f>
        <v>68.91</v>
      </c>
      <c r="N8" s="86" t="s">
        <v>57</v>
      </c>
      <c r="O8" s="84">
        <f>SUM(O4:O7)</f>
        <v>128.30000000000001</v>
      </c>
      <c r="P8" s="84" t="s">
        <v>56</v>
      </c>
      <c r="Q8" s="84">
        <f>SUM(Q4:Q7)</f>
        <v>128.30000000000001</v>
      </c>
      <c r="R8" s="84" t="s">
        <v>56</v>
      </c>
    </row>
    <row r="9" spans="1:19">
      <c r="K9" s="89">
        <f>SUM(K4:K8)</f>
        <v>81.919999999999987</v>
      </c>
      <c r="L9" s="89" t="s">
        <v>57</v>
      </c>
      <c r="O9" s="87">
        <f>O8*0.35*2+128.3*0.15</f>
        <v>109.05500000000001</v>
      </c>
      <c r="P9" s="86" t="s">
        <v>57</v>
      </c>
      <c r="Q9" s="86">
        <f>Q8*2*2</f>
        <v>513.20000000000005</v>
      </c>
      <c r="R9" s="86" t="s">
        <v>57</v>
      </c>
    </row>
    <row r="10" spans="1:19">
      <c r="Q10" t="s">
        <v>155</v>
      </c>
    </row>
    <row r="11" spans="1:19">
      <c r="I11" s="90" t="s">
        <v>115</v>
      </c>
      <c r="J11" s="90"/>
      <c r="O11" s="86"/>
      <c r="P11" s="86"/>
      <c r="Q11" t="s">
        <v>156</v>
      </c>
    </row>
    <row r="12" spans="1:19">
      <c r="I12" s="91">
        <f>I8+K9+M8+O9</f>
        <v>375.80500000000001</v>
      </c>
      <c r="J12" s="92" t="s">
        <v>57</v>
      </c>
      <c r="Q12" t="s">
        <v>218</v>
      </c>
    </row>
    <row r="15" spans="1:19">
      <c r="A15" s="290" t="s">
        <v>206</v>
      </c>
      <c r="B15" s="290"/>
      <c r="C15" s="290"/>
      <c r="D15" s="290"/>
    </row>
    <row r="16" spans="1:19">
      <c r="A16" t="s">
        <v>207</v>
      </c>
      <c r="B16" s="70">
        <f>1.6*0.3*0.16*2</f>
        <v>0.15359999999999999</v>
      </c>
      <c r="C16" t="s">
        <v>100</v>
      </c>
    </row>
    <row r="17" spans="1:13">
      <c r="A17" t="s">
        <v>208</v>
      </c>
      <c r="B17" s="70">
        <f>(0.41*0.35*3)+(1*0.4*0.1)</f>
        <v>0.47050000000000003</v>
      </c>
      <c r="C17" t="s">
        <v>100</v>
      </c>
      <c r="I17" s="290" t="s">
        <v>220</v>
      </c>
      <c r="J17" s="290"/>
      <c r="K17" s="290"/>
      <c r="L17" t="s">
        <v>219</v>
      </c>
    </row>
    <row r="18" spans="1:13">
      <c r="A18" t="s">
        <v>209</v>
      </c>
      <c r="I18">
        <v>11.3</v>
      </c>
      <c r="J18" t="s">
        <v>56</v>
      </c>
      <c r="L18">
        <f>16.95*26</f>
        <v>440.7</v>
      </c>
      <c r="M18" t="s">
        <v>221</v>
      </c>
    </row>
    <row r="19" spans="1:13">
      <c r="A19" t="s">
        <v>210</v>
      </c>
      <c r="I19">
        <v>18.850000000000001</v>
      </c>
      <c r="J19" t="s">
        <v>56</v>
      </c>
    </row>
    <row r="20" spans="1:13">
      <c r="I20">
        <v>9</v>
      </c>
      <c r="J20" t="s">
        <v>56</v>
      </c>
    </row>
    <row r="21" spans="1:13">
      <c r="I21">
        <v>17</v>
      </c>
      <c r="J21" t="s">
        <v>56</v>
      </c>
    </row>
    <row r="22" spans="1:13">
      <c r="I22">
        <v>22.53</v>
      </c>
      <c r="J22" t="s">
        <v>56</v>
      </c>
      <c r="L22" s="290"/>
      <c r="M22" s="290"/>
    </row>
    <row r="23" spans="1:13">
      <c r="I23">
        <v>19.260000000000002</v>
      </c>
      <c r="J23" t="s">
        <v>56</v>
      </c>
    </row>
    <row r="24" spans="1:13">
      <c r="I24">
        <v>11</v>
      </c>
      <c r="J24" t="s">
        <v>56</v>
      </c>
    </row>
    <row r="25" spans="1:13">
      <c r="I25">
        <v>9</v>
      </c>
      <c r="J25" t="s">
        <v>56</v>
      </c>
    </row>
    <row r="26" spans="1:13">
      <c r="I26">
        <v>17</v>
      </c>
      <c r="J26" t="s">
        <v>56</v>
      </c>
    </row>
    <row r="27" spans="1:13">
      <c r="I27">
        <v>22.53</v>
      </c>
      <c r="J27" t="s">
        <v>56</v>
      </c>
    </row>
    <row r="28" spans="1:13">
      <c r="I28">
        <v>19.260000000000002</v>
      </c>
      <c r="J28" t="s">
        <v>56</v>
      </c>
    </row>
    <row r="29" spans="1:13">
      <c r="I29">
        <v>11</v>
      </c>
      <c r="J29" t="s">
        <v>56</v>
      </c>
    </row>
    <row r="30" spans="1:13">
      <c r="I30" s="86">
        <f>SUM(I18:I29)</f>
        <v>187.73</v>
      </c>
      <c r="J30" s="86" t="s">
        <v>56</v>
      </c>
    </row>
  </sheetData>
  <mergeCells count="9">
    <mergeCell ref="L22:M22"/>
    <mergeCell ref="I17:K17"/>
    <mergeCell ref="A15:D15"/>
    <mergeCell ref="M3:N3"/>
    <mergeCell ref="I2:R2"/>
    <mergeCell ref="A2:C2"/>
    <mergeCell ref="Q3:R3"/>
    <mergeCell ref="I3:J3"/>
    <mergeCell ref="K3:L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</vt:lpstr>
      <vt:lpstr>CRONOGRAMA</vt:lpstr>
      <vt:lpstr>MEMÓRIA DE CÁLCULO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Engenharia04</dc:creator>
  <cp:lastModifiedBy>Engenharia05</cp:lastModifiedBy>
  <cp:lastPrinted>2022-10-27T19:24:00Z</cp:lastPrinted>
  <dcterms:created xsi:type="dcterms:W3CDTF">2018-12-18T11:32:11Z</dcterms:created>
  <dcterms:modified xsi:type="dcterms:W3CDTF">2023-08-07T14:56:01Z</dcterms:modified>
</cp:coreProperties>
</file>