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ROCESSOS DE LICITAÇÃO\TOMADA DE PREÇO\Engenharia\REFORMA CEI JOANNA BIAZON E MARIA AP TOLEDO_ 2023\"/>
    </mc:Choice>
  </mc:AlternateContent>
  <bookViews>
    <workbookView xWindow="0" yWindow="0" windowWidth="20490" windowHeight="7650"/>
  </bookViews>
  <sheets>
    <sheet name="PLANILHA ORÇAMENTÁRIA" sheetId="3" r:id="rId1"/>
    <sheet name="CRONOGRAMA FÍSICO-FINANCEIRO" sheetId="5" r:id="rId2"/>
  </sheets>
  <definedNames>
    <definedName name="_xlnm.Print_Area" localSheetId="1">'CRONOGRAMA FÍSICO-FINANCEIRO'!$B$1:$L$42</definedName>
    <definedName name="_xlnm.Print_Area" localSheetId="0">'PLANILHA ORÇAMENTÁRIA'!$B$1:$I$68</definedName>
    <definedName name="_xlnm.Database" localSheetId="1">#REF!</definedName>
    <definedName name="_xlnm.Database">#REF!</definedName>
    <definedName name="Comp.export" localSheetId="1">#REF!</definedName>
    <definedName name="Comp.export">#REF!</definedName>
    <definedName name="CONCATENAR">CONCATENATE(#REF!," ",#REF!)</definedName>
    <definedName name="CONTEM" localSheetId="1">#REF!</definedName>
    <definedName name="CONTEM">#REF!</definedName>
    <definedName name="Cot.LP.Banco" localSheetId="1">#REF!</definedName>
    <definedName name="Cot.LP.Banco">#REF!</definedName>
    <definedName name="Cot.LP.Cot" localSheetId="1">#REF!</definedName>
    <definedName name="Cot.LP.Cot">#REF!</definedName>
    <definedName name="Cot.LP.Cotacao" localSheetId="1">#REF!</definedName>
    <definedName name="Cot.LP.Cotacao">#REF!</definedName>
    <definedName name="Cot.LP.Empresa" localSheetId="1">#REF!</definedName>
    <definedName name="Cot.LP.Empresa">#REF!</definedName>
    <definedName name="Cot.LP.Indice" localSheetId="1">#REF!</definedName>
    <definedName name="Cot.LP.Indice">#REF!</definedName>
    <definedName name="DATAEMISSAO" localSheetId="1">#REF!</definedName>
    <definedName name="DATAEMISSAO">#REF!</definedName>
    <definedName name="DATART" localSheetId="1">#REF!</definedName>
    <definedName name="DATART">#REF!</definedName>
    <definedName name="EMPRESAS" localSheetId="1">OFFSET(#REF!,1,0):OFFSET(#REF!,-1,0)</definedName>
    <definedName name="EMPRESAS">OFFSET(#REF!,1,0):OFFSET(#REF!,-1,0)</definedName>
    <definedName name="FiltroComp">#REF!</definedName>
    <definedName name="FiltroCot" localSheetId="1">#REF!</definedName>
    <definedName name="FiltroCot">#REF!</definedName>
    <definedName name="INDICES" localSheetId="1">OFFSET(#REF!,1,0):OFFSET(#REF!,-1,0)</definedName>
    <definedName name="INDICES">OFFSET(#REF!,1,0):OFFSET(#REF!,-1,0)</definedName>
    <definedName name="LOCALIDADE">#REF!</definedName>
    <definedName name="NAOCONTEM" localSheetId="1">#REF!</definedName>
    <definedName name="NAOCONTEM">#REF!</definedName>
    <definedName name="NCOMPOSICOES">104</definedName>
    <definedName name="NCOTACOES">25</definedName>
    <definedName name="NEMPRESAS">50</definedName>
    <definedName name="NINDICES">3</definedName>
    <definedName name="NRELATORIOS">COUNTA(#REF!)-2</definedName>
    <definedName name="NumerEmpresa">50</definedName>
    <definedName name="NumerIndice">3</definedName>
    <definedName name="Objeto">"Referência"</definedName>
    <definedName name="ORÇAMENTO.BancoRef" hidden="1">#REF!</definedName>
    <definedName name="REFERENCIA.Descricao" localSheetId="1" hidden="1">IF(ISNUMBER(#REF!),OFFSET(INDIRECT(ORÇAMENTO.BancoRef),#REF!-1,3,1),#REF!)</definedName>
    <definedName name="REFERENCIA.Descricao" hidden="1">IF(ISNUMBER(#REF!),OFFSET(INDIRECT(ORÇAMENTO.BancoRef),#REF!-1,3,1),#REF!)</definedName>
    <definedName name="RelatoriosFontes" localSheetId="1">OFFSET(#REF!,1,0,NRELATORIOS)</definedName>
    <definedName name="RelatoriosFontes">OFFSET(#REF!,1,0,NRELATORIOS)</definedName>
    <definedName name="SENHAGT" hidden="1">"PM2CAIXA"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4" i="3" l="1"/>
  <c r="I51" i="3"/>
  <c r="I52" i="3"/>
  <c r="I45" i="3"/>
  <c r="I44" i="3"/>
  <c r="I25" i="3"/>
  <c r="I20" i="3"/>
  <c r="I37" i="3"/>
  <c r="I36" i="3"/>
  <c r="I33" i="3"/>
  <c r="I32" i="3"/>
  <c r="I30" i="3"/>
  <c r="I29" i="3"/>
  <c r="I21" i="3"/>
  <c r="I23" i="3"/>
  <c r="I24" i="3"/>
  <c r="I19" i="3"/>
  <c r="I17" i="3"/>
  <c r="I16" i="3"/>
  <c r="I13" i="3"/>
  <c r="I53" i="3"/>
  <c r="I50" i="3"/>
  <c r="I42" i="3"/>
  <c r="I38" i="3"/>
  <c r="I35" i="3"/>
  <c r="I28" i="3"/>
  <c r="I31" i="3"/>
  <c r="I12" i="3"/>
  <c r="H38" i="3"/>
  <c r="H39" i="3"/>
  <c r="F39" i="3"/>
  <c r="F17" i="3"/>
  <c r="H17" i="3"/>
  <c r="H16" i="3" s="1"/>
  <c r="F44" i="3" l="1"/>
  <c r="H44" i="3"/>
  <c r="H22" i="3"/>
  <c r="H37" i="3" l="1"/>
  <c r="H30" i="3"/>
  <c r="H15" i="3"/>
  <c r="H14" i="3"/>
  <c r="F52" i="3"/>
  <c r="H52" i="3" s="1"/>
  <c r="F51" i="3"/>
  <c r="F22" i="3"/>
  <c r="F23" i="3" s="1"/>
  <c r="H23" i="3" s="1"/>
  <c r="F45" i="3"/>
  <c r="F43" i="3"/>
  <c r="H43" i="3" s="1"/>
  <c r="F41" i="3"/>
  <c r="F21" i="3"/>
  <c r="F54" i="3" l="1"/>
  <c r="H54" i="3" s="1"/>
  <c r="H51" i="3"/>
  <c r="H41" i="3"/>
  <c r="F40" i="3"/>
  <c r="H40" i="3" s="1"/>
  <c r="F36" i="3"/>
  <c r="H36" i="3" s="1"/>
  <c r="H35" i="3" l="1"/>
  <c r="D25" i="5" s="1"/>
  <c r="F46" i="3"/>
  <c r="H46" i="3" s="1"/>
  <c r="H50" i="3"/>
  <c r="D31" i="5" s="1"/>
  <c r="H53" i="3"/>
  <c r="D33" i="5" s="1"/>
  <c r="D27" i="5"/>
  <c r="H45" i="3"/>
  <c r="H21" i="3"/>
  <c r="F19" i="3"/>
  <c r="F33" i="3"/>
  <c r="H33" i="3" s="1"/>
  <c r="F32" i="3"/>
  <c r="F29" i="3"/>
  <c r="H29" i="3" s="1"/>
  <c r="F18" i="3"/>
  <c r="F47" i="3" l="1"/>
  <c r="H47" i="3" s="1"/>
  <c r="F49" i="3"/>
  <c r="H49" i="3" s="1"/>
  <c r="F48" i="3"/>
  <c r="H48" i="3" s="1"/>
  <c r="F26" i="3"/>
  <c r="H26" i="3" s="1"/>
  <c r="F25" i="3"/>
  <c r="H25" i="3" s="1"/>
  <c r="F27" i="3"/>
  <c r="H27" i="3" s="1"/>
  <c r="F24" i="3"/>
  <c r="H24" i="3" s="1"/>
  <c r="H28" i="3"/>
  <c r="D19" i="5" s="1"/>
  <c r="H42" i="3" l="1"/>
  <c r="D29" i="5" s="1"/>
  <c r="H32" i="3" l="1"/>
  <c r="H31" i="3" l="1"/>
  <c r="D21" i="5" s="1"/>
  <c r="H19" i="3" l="1"/>
  <c r="F13" i="3" l="1"/>
  <c r="H13" i="3" s="1"/>
  <c r="H12" i="3" l="1"/>
  <c r="D13" i="5" s="1"/>
  <c r="H18" i="3" l="1"/>
  <c r="H20" i="3" l="1"/>
  <c r="D17" i="5" s="1"/>
  <c r="D15" i="5"/>
  <c r="E38" i="5" l="1"/>
  <c r="I38" i="5"/>
  <c r="H55" i="3"/>
  <c r="I39" i="3" s="1"/>
  <c r="I22" i="3" l="1"/>
  <c r="I48" i="3"/>
  <c r="I49" i="3"/>
  <c r="I15" i="3"/>
  <c r="I47" i="3"/>
  <c r="I18" i="3"/>
  <c r="I41" i="3"/>
  <c r="I46" i="3"/>
  <c r="I40" i="3"/>
  <c r="I43" i="3"/>
  <c r="I14" i="3"/>
  <c r="I26" i="3"/>
  <c r="I27" i="3"/>
  <c r="E39" i="5"/>
  <c r="I55" i="3" l="1"/>
  <c r="D35" i="5"/>
  <c r="I39" i="5"/>
  <c r="I36" i="5" l="1"/>
  <c r="E36" i="5"/>
  <c r="E37" i="5" s="1"/>
  <c r="I37" i="5" l="1"/>
</calcChain>
</file>

<file path=xl/sharedStrings.xml><?xml version="1.0" encoding="utf-8"?>
<sst xmlns="http://schemas.openxmlformats.org/spreadsheetml/2006/main" count="218" uniqueCount="125">
  <si>
    <t>m²</t>
  </si>
  <si>
    <t xml:space="preserve">un </t>
  </si>
  <si>
    <t>m</t>
  </si>
  <si>
    <t>ITEM</t>
  </si>
  <si>
    <t>TOTAL</t>
  </si>
  <si>
    <t>Revestimento em porcelanato esmaltado acetinado para área interna e ambiente com acesso ao exterior, grupo de absorção BIa, resistência química B, assentado com argamassa colante industrializada, rejuntado</t>
  </si>
  <si>
    <t>Código CDHU</t>
  </si>
  <si>
    <t>Quantidade</t>
  </si>
  <si>
    <t>Unidade</t>
  </si>
  <si>
    <t>Custo unitário (R$)</t>
  </si>
  <si>
    <t>18.08.090</t>
  </si>
  <si>
    <t>Retirada de aparelho sanitário incluindo acessórios</t>
  </si>
  <si>
    <t>04.11.020</t>
  </si>
  <si>
    <t>33.10.030</t>
  </si>
  <si>
    <t>Item</t>
  </si>
  <si>
    <t>1.1</t>
  </si>
  <si>
    <t>Descrição dos serviços</t>
  </si>
  <si>
    <t>2.1</t>
  </si>
  <si>
    <t>2.2</t>
  </si>
  <si>
    <t>2.3</t>
  </si>
  <si>
    <t>PISO</t>
  </si>
  <si>
    <t>02.08.050</t>
  </si>
  <si>
    <t>Placa em lona com impressão digital e estrutura em madeira</t>
  </si>
  <si>
    <t>%</t>
  </si>
  <si>
    <t>SERVIÇOS COMPLEMENTARES</t>
  </si>
  <si>
    <t>55.01.020</t>
  </si>
  <si>
    <t>Limpeza final da obra</t>
  </si>
  <si>
    <t>44.20.060</t>
  </si>
  <si>
    <t>Recolocação de aparelhos sanitários, incluindo acessórios</t>
  </si>
  <si>
    <t>PREFEITURA MUNICIPAL DE ITATINGA/SP</t>
  </si>
  <si>
    <t>DIRETORIA DE ENGENHARIA</t>
  </si>
  <si>
    <t>CNPJ nº 46.634.127/0001-63</t>
  </si>
  <si>
    <t>PLANILHA ORÇAMENTÁRIA</t>
  </si>
  <si>
    <t>OBRA</t>
  </si>
  <si>
    <t>BDI</t>
  </si>
  <si>
    <t>DATA</t>
  </si>
  <si>
    <t>ENDEREÇO</t>
  </si>
  <si>
    <t>OBSERVAÇÕES:</t>
  </si>
  <si>
    <t>PREÇO TOTAL (R$)</t>
  </si>
  <si>
    <t>Preço total c/BDI = 20% (R$)</t>
  </si>
  <si>
    <t>CRONOGRAMA FÍSICO-FINANCEIRO</t>
  </si>
  <si>
    <t>PRAZO</t>
  </si>
  <si>
    <t>ETAPAS CONSTRUTIVAS</t>
  </si>
  <si>
    <t>TOTAL DO ITEM</t>
  </si>
  <si>
    <t>MÊS 01</t>
  </si>
  <si>
    <t>MÊS 02</t>
  </si>
  <si>
    <t>% DO MÊS</t>
  </si>
  <si>
    <t>% ACUMULADA</t>
  </si>
  <si>
    <t>TOTAL DO MÊS</t>
  </si>
  <si>
    <t>TOTAL ACUMULADO</t>
  </si>
  <si>
    <t>60 dias</t>
  </si>
  <si>
    <t>BOLETIM CDHU 189 - ENCARGOS SOCIAIS DESONERADOS (LS = 97,78%) - DATA/BASE: FEVEREIRO/2023;</t>
  </si>
  <si>
    <t>CEI PROFESSORA JOANNA BIAZON DA SILVA</t>
  </si>
  <si>
    <t>SERVIÇOS PRELIMINARES</t>
  </si>
  <si>
    <t>04.06.020</t>
  </si>
  <si>
    <t>Retirada de piso em material sintético assentado a cola</t>
  </si>
  <si>
    <t>18.08.100</t>
  </si>
  <si>
    <t>Rodapé em porcelanato esmaltado acetinado para área interna e ambiente com acesso ao exterior, grupo de absorção BIa, resistência química B, assentado com argamassa colante industrializada, rejuntado</t>
  </si>
  <si>
    <t>GRADIL E PORTÃO</t>
  </si>
  <si>
    <t>34.05.310</t>
  </si>
  <si>
    <t>34.05.320</t>
  </si>
  <si>
    <t>Gradil de ferro perfilado, tipo parque</t>
  </si>
  <si>
    <t>Portão de ferro perfilado, tipo parque</t>
  </si>
  <si>
    <t>MURETA EM ALVENARIA</t>
  </si>
  <si>
    <t>Chapisco</t>
  </si>
  <si>
    <t>Reboco</t>
  </si>
  <si>
    <t>12.01.021</t>
  </si>
  <si>
    <t>Broca em concreto armado diâmetro de 20 cm ‐ completa</t>
  </si>
  <si>
    <t>17.02.020</t>
  </si>
  <si>
    <t>17.02.120</t>
  </si>
  <si>
    <t>Emboço comum</t>
  </si>
  <si>
    <t>17.02.220</t>
  </si>
  <si>
    <t>33.02.080</t>
  </si>
  <si>
    <t>Massa corrida à base de resina acrílica</t>
  </si>
  <si>
    <t>Tinta acrílica antimofo em massa, inclusive preparo</t>
  </si>
  <si>
    <t>CEI PROFESSORA MARIA APPARECIDA TOLEDO</t>
  </si>
  <si>
    <t>1.2</t>
  </si>
  <si>
    <t>1.3</t>
  </si>
  <si>
    <t>Reforma dos CEIs "Professora Joanna Biazon da Silva" e "Professora Maria Apparecida Toledo"</t>
  </si>
  <si>
    <t>CEI "Professora Joanna Biazon da Silva": Rua Dionísio Cesário de Almeida, 33, Bairro CDHU Mário Covas, Itatinga/SP; CEI "Professora Maria Apparecida Toledo": Rua Mário Matheus Franzolin, 82, Jardim Parenti II.</t>
  </si>
  <si>
    <t>1.4</t>
  </si>
  <si>
    <t>1.1.1</t>
  </si>
  <si>
    <t>1.1.2</t>
  </si>
  <si>
    <t>1.1.3</t>
  </si>
  <si>
    <t>1.2.1</t>
  </si>
  <si>
    <t>1.2.2</t>
  </si>
  <si>
    <t>1.3.1</t>
  </si>
  <si>
    <t>1.3.2</t>
  </si>
  <si>
    <t>1.3.3</t>
  </si>
  <si>
    <t>1.3.4</t>
  </si>
  <si>
    <t>1.3.5</t>
  </si>
  <si>
    <t>1.3.6</t>
  </si>
  <si>
    <t>1.3.7</t>
  </si>
  <si>
    <t>1.4.1</t>
  </si>
  <si>
    <t>1.4.2</t>
  </si>
  <si>
    <t>1.5</t>
  </si>
  <si>
    <t>1.5.1</t>
  </si>
  <si>
    <t>1.5.2</t>
  </si>
  <si>
    <t>2.1.1</t>
  </si>
  <si>
    <t>2.1.2</t>
  </si>
  <si>
    <t>2.2.1</t>
  </si>
  <si>
    <t>2.2.2</t>
  </si>
  <si>
    <t>Parcelas de maior relevância:</t>
  </si>
  <si>
    <t>2.4</t>
  </si>
  <si>
    <t>2.5</t>
  </si>
  <si>
    <t>2.5.1</t>
  </si>
  <si>
    <t>2.4.1</t>
  </si>
  <si>
    <t>2.4.2</t>
  </si>
  <si>
    <t>2.3.1</t>
  </si>
  <si>
    <t>2.3.2</t>
  </si>
  <si>
    <t>2.3.3</t>
  </si>
  <si>
    <t>2.3.4</t>
  </si>
  <si>
    <t>2.3.5</t>
  </si>
  <si>
    <t>2.3.6</t>
  </si>
  <si>
    <t>2.3.7</t>
  </si>
  <si>
    <t>BOLETIM CDHU 189 (COM DESONERAÇÃO - 02/2023)</t>
  </si>
  <si>
    <t>CEI PROFESSORA JOANA BIAZON DA SILVA</t>
  </si>
  <si>
    <t>14.10.111</t>
  </si>
  <si>
    <t>Alvenaria de bloco de concreto de vedação de 14 x 19 x 39 cm ‐ classe C</t>
  </si>
  <si>
    <t>1.2.3</t>
  </si>
  <si>
    <t>17.01.060</t>
  </si>
  <si>
    <t>Regularização de piso com nata de cimento e adesivo de alto desempenho</t>
  </si>
  <si>
    <t>2.2.3</t>
  </si>
  <si>
    <r>
      <rPr>
        <b/>
        <sz val="10"/>
        <rFont val="Arial"/>
        <family val="2"/>
      </rPr>
      <t>Itens 1.2.2 e 2.2.2</t>
    </r>
    <r>
      <rPr>
        <sz val="10"/>
        <rFont val="Arial"/>
        <family val="2"/>
      </rPr>
      <t xml:space="preserve"> - Revestimento de piso porcelanato (</t>
    </r>
    <r>
      <rPr>
        <b/>
        <sz val="10"/>
        <rFont val="Arial"/>
        <family val="2"/>
      </rPr>
      <t>valor percentual significativo - 40,50%</t>
    </r>
    <r>
      <rPr>
        <sz val="10"/>
        <rFont val="Arial"/>
        <family val="2"/>
      </rPr>
      <t>);</t>
    </r>
  </si>
  <si>
    <r>
      <rPr>
        <b/>
        <sz val="10"/>
        <rFont val="Arial"/>
        <family val="2"/>
      </rPr>
      <t>Itens 1.4.1 e 2.4.1</t>
    </r>
    <r>
      <rPr>
        <sz val="10"/>
        <rFont val="Arial"/>
        <family val="2"/>
      </rPr>
      <t xml:space="preserve"> - Gradil de ferro perfilado, tipo parque, </t>
    </r>
    <r>
      <rPr>
        <b/>
        <sz val="10"/>
        <rFont val="Arial"/>
        <family val="2"/>
      </rPr>
      <t>ou similar</t>
    </r>
    <r>
      <rPr>
        <sz val="10"/>
        <rFont val="Arial"/>
        <family val="2"/>
      </rPr>
      <t xml:space="preserve"> (</t>
    </r>
    <r>
      <rPr>
        <b/>
        <sz val="10"/>
        <rFont val="Arial"/>
        <family val="2"/>
      </rPr>
      <t>valor percentual significativo - 29,06%</t>
    </r>
    <r>
      <rPr>
        <sz val="10"/>
        <rFont val="Arial"/>
        <family val="2"/>
      </rPr>
      <t>);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</si>
</sst>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 &quot;\ \ #,##0.00"/>
    <numFmt numFmtId="165" formatCode="&quot;R$&quot;\ #,##0.0000;[Red]\-&quot;R$&quot;\ #,##0.0000"/>
    <numFmt numFmtId="166" formatCode="0.000000%"/>
    <numFmt numFmtId="167" formatCode="0.000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charset val="134"/>
      <scheme val="minor"/>
    </font>
    <font>
      <sz val="9"/>
      <color theme="0"/>
      <name val="Arial"/>
      <family val="2"/>
    </font>
    <font>
      <u/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8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8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8" fontId="4" fillId="0" borderId="1" xfId="0" applyNumberFormat="1" applyFont="1" applyBorder="1" applyAlignment="1">
      <alignment horizontal="center" vertical="center"/>
    </xf>
    <xf numFmtId="0" fontId="7" fillId="0" borderId="0" xfId="3" applyFont="1" applyAlignment="1">
      <alignment horizontal="center" vertical="center" readingOrder="2"/>
    </xf>
    <xf numFmtId="0" fontId="7" fillId="0" borderId="0" xfId="3" applyFont="1" applyAlignment="1">
      <alignment horizontal="left" vertical="center" wrapText="1" readingOrder="2"/>
    </xf>
    <xf numFmtId="0" fontId="2" fillId="0" borderId="0" xfId="1" applyFont="1"/>
    <xf numFmtId="10" fontId="11" fillId="0" borderId="0" xfId="5" applyNumberFormat="1" applyFont="1"/>
    <xf numFmtId="0" fontId="4" fillId="0" borderId="0" xfId="3" applyFont="1" applyBorder="1" applyAlignment="1" applyProtection="1">
      <alignment horizontal="center" vertical="top" wrapText="1"/>
    </xf>
    <xf numFmtId="0" fontId="4" fillId="0" borderId="0" xfId="3" applyFont="1" applyBorder="1" applyAlignment="1" applyProtection="1">
      <alignment vertical="top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left" vertical="center" wrapText="1"/>
    </xf>
    <xf numFmtId="0" fontId="12" fillId="0" borderId="0" xfId="3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8" fontId="2" fillId="0" borderId="1" xfId="0" applyNumberFormat="1" applyFont="1" applyFill="1" applyBorder="1" applyAlignment="1">
      <alignment horizontal="center" vertical="center"/>
    </xf>
    <xf numFmtId="0" fontId="7" fillId="0" borderId="0" xfId="3" applyFont="1" applyAlignment="1">
      <alignment horizontal="center" vertical="center" readingOrder="2"/>
    </xf>
    <xf numFmtId="0" fontId="3" fillId="6" borderId="2" xfId="0" applyFont="1" applyFill="1" applyBorder="1" applyAlignment="1">
      <alignment horizontal="center" vertical="center"/>
    </xf>
    <xf numFmtId="164" fontId="9" fillId="4" borderId="1" xfId="3" applyNumberFormat="1" applyFont="1" applyFill="1" applyBorder="1" applyAlignment="1" applyProtection="1">
      <alignment horizontal="center" vertical="center"/>
      <protection locked="0"/>
    </xf>
    <xf numFmtId="164" fontId="9" fillId="4" borderId="6" xfId="3" applyNumberFormat="1" applyFont="1" applyFill="1" applyBorder="1" applyAlignment="1" applyProtection="1">
      <alignment horizontal="center" vertical="center"/>
      <protection locked="0"/>
    </xf>
    <xf numFmtId="8" fontId="2" fillId="0" borderId="0" xfId="0" applyNumberFormat="1" applyFont="1"/>
    <xf numFmtId="165" fontId="2" fillId="0" borderId="0" xfId="0" applyNumberFormat="1" applyFont="1"/>
    <xf numFmtId="10" fontId="2" fillId="0" borderId="0" xfId="6" applyNumberFormat="1" applyFont="1"/>
    <xf numFmtId="166" fontId="2" fillId="0" borderId="0" xfId="6" applyNumberFormat="1" applyFont="1"/>
    <xf numFmtId="44" fontId="2" fillId="0" borderId="0" xfId="7" applyFont="1"/>
    <xf numFmtId="10" fontId="4" fillId="0" borderId="1" xfId="0" applyNumberFormat="1" applyFont="1" applyBorder="1" applyAlignment="1">
      <alignment horizontal="center" vertical="center"/>
    </xf>
    <xf numFmtId="8" fontId="3" fillId="0" borderId="1" xfId="0" applyNumberFormat="1" applyFont="1" applyBorder="1" applyAlignment="1">
      <alignment horizontal="center" vertical="center"/>
    </xf>
    <xf numFmtId="0" fontId="5" fillId="0" borderId="2" xfId="3" applyFont="1" applyFill="1" applyBorder="1" applyAlignment="1" applyProtection="1">
      <alignment vertical="center" wrapText="1"/>
    </xf>
    <xf numFmtId="0" fontId="9" fillId="4" borderId="7" xfId="3" applyFont="1" applyFill="1" applyBorder="1" applyAlignment="1" applyProtection="1">
      <alignment horizontal="center" vertical="center"/>
      <protection locked="0"/>
    </xf>
    <xf numFmtId="0" fontId="9" fillId="4" borderId="6" xfId="3" applyFont="1" applyFill="1" applyBorder="1" applyAlignment="1" applyProtection="1">
      <alignment horizontal="center" vertical="center"/>
      <protection locked="0"/>
    </xf>
    <xf numFmtId="10" fontId="5" fillId="0" borderId="7" xfId="3" applyNumberFormat="1" applyFont="1" applyFill="1" applyBorder="1" applyAlignment="1" applyProtection="1">
      <alignment horizontal="center" vertical="center"/>
      <protection locked="0"/>
    </xf>
    <xf numFmtId="167" fontId="2" fillId="0" borderId="0" xfId="6" applyNumberFormat="1" applyFont="1"/>
    <xf numFmtId="0" fontId="5" fillId="5" borderId="1" xfId="3" applyFont="1" applyFill="1" applyBorder="1" applyAlignment="1">
      <alignment horizontal="left" vertical="top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64" fontId="9" fillId="4" borderId="1" xfId="3" applyNumberFormat="1" applyFont="1" applyFill="1" applyBorder="1" applyAlignment="1" applyProtection="1">
      <alignment horizontal="center" vertical="center"/>
      <protection locked="0"/>
    </xf>
    <xf numFmtId="164" fontId="5" fillId="4" borderId="1" xfId="3" applyNumberFormat="1" applyFont="1" applyFill="1" applyBorder="1" applyAlignment="1" applyProtection="1">
      <alignment horizontal="center" vertical="center"/>
      <protection locked="0"/>
    </xf>
    <xf numFmtId="0" fontId="5" fillId="0" borderId="1" xfId="3" applyFont="1" applyFill="1" applyBorder="1" applyAlignment="1" applyProtection="1">
      <alignment horizontal="left" vertical="center" wrapText="1"/>
      <protection locked="0"/>
    </xf>
    <xf numFmtId="0" fontId="15" fillId="5" borderId="1" xfId="3" applyFont="1" applyFill="1" applyBorder="1" applyAlignment="1">
      <alignment horizontal="left" vertical="top"/>
    </xf>
    <xf numFmtId="0" fontId="9" fillId="5" borderId="1" xfId="3" applyFont="1" applyFill="1" applyBorder="1" applyAlignment="1">
      <alignment horizontal="left" vertical="top"/>
    </xf>
    <xf numFmtId="0" fontId="6" fillId="0" borderId="0" xfId="3" applyFont="1" applyAlignment="1">
      <alignment horizontal="center" vertical="center" readingOrder="2"/>
    </xf>
    <xf numFmtId="0" fontId="7" fillId="0" borderId="0" xfId="3" applyFont="1" applyAlignment="1">
      <alignment horizontal="center" vertical="center" readingOrder="2"/>
    </xf>
    <xf numFmtId="164" fontId="8" fillId="0" borderId="1" xfId="3" applyNumberFormat="1" applyFont="1" applyFill="1" applyBorder="1" applyAlignment="1" applyProtection="1">
      <alignment horizontal="center" vertical="center" wrapText="1"/>
      <protection locked="0"/>
    </xf>
    <xf numFmtId="164" fontId="9" fillId="4" borderId="6" xfId="3" applyNumberFormat="1" applyFont="1" applyFill="1" applyBorder="1" applyAlignment="1" applyProtection="1">
      <alignment horizontal="center" vertical="center"/>
      <protection locked="0"/>
    </xf>
    <xf numFmtId="164" fontId="5" fillId="4" borderId="6" xfId="3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right" vertical="center"/>
    </xf>
    <xf numFmtId="14" fontId="5" fillId="0" borderId="1" xfId="4" applyNumberFormat="1" applyFont="1" applyFill="1" applyBorder="1" applyAlignment="1" applyProtection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8" fontId="2" fillId="0" borderId="5" xfId="0" applyNumberFormat="1" applyFont="1" applyBorder="1" applyAlignment="1">
      <alignment horizontal="center" vertical="center"/>
    </xf>
    <xf numFmtId="8" fontId="2" fillId="0" borderId="6" xfId="0" applyNumberFormat="1" applyFont="1" applyBorder="1" applyAlignment="1">
      <alignment horizontal="center" vertical="center"/>
    </xf>
    <xf numFmtId="10" fontId="14" fillId="0" borderId="2" xfId="6" applyNumberFormat="1" applyFont="1" applyBorder="1" applyAlignment="1">
      <alignment horizontal="center" vertical="center"/>
    </xf>
    <xf numFmtId="10" fontId="14" fillId="0" borderId="3" xfId="6" applyNumberFormat="1" applyFont="1" applyBorder="1" applyAlignment="1">
      <alignment horizontal="center" vertical="center"/>
    </xf>
    <xf numFmtId="10" fontId="14" fillId="0" borderId="4" xfId="6" applyNumberFormat="1" applyFont="1" applyBorder="1" applyAlignment="1">
      <alignment horizontal="center" vertical="center"/>
    </xf>
    <xf numFmtId="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4" fillId="0" borderId="1" xfId="3" applyNumberFormat="1" applyFont="1" applyFill="1" applyBorder="1" applyAlignment="1" applyProtection="1">
      <alignment horizontal="center" vertical="center"/>
      <protection locked="0"/>
    </xf>
    <xf numFmtId="164" fontId="4" fillId="0" borderId="2" xfId="3" applyNumberFormat="1" applyFont="1" applyFill="1" applyBorder="1" applyAlignment="1" applyProtection="1">
      <alignment horizontal="left" wrapText="1"/>
      <protection locked="0"/>
    </xf>
    <xf numFmtId="164" fontId="4" fillId="0" borderId="4" xfId="3" applyNumberFormat="1" applyFont="1" applyFill="1" applyBorder="1" applyAlignment="1" applyProtection="1">
      <alignment horizontal="left" wrapText="1"/>
      <protection locked="0"/>
    </xf>
    <xf numFmtId="164" fontId="16" fillId="4" borderId="2" xfId="3" applyNumberFormat="1" applyFont="1" applyFill="1" applyBorder="1" applyAlignment="1" applyProtection="1">
      <alignment horizontal="center" vertical="center"/>
      <protection locked="0"/>
    </xf>
    <xf numFmtId="164" fontId="16" fillId="4" borderId="3" xfId="3" applyNumberFormat="1" applyFont="1" applyFill="1" applyBorder="1" applyAlignment="1" applyProtection="1">
      <alignment horizontal="center" vertical="center"/>
      <protection locked="0"/>
    </xf>
    <xf numFmtId="164" fontId="16" fillId="4" borderId="4" xfId="3" applyNumberFormat="1" applyFont="1" applyFill="1" applyBorder="1" applyAlignment="1" applyProtection="1">
      <alignment horizontal="center" vertical="center"/>
      <protection locked="0"/>
    </xf>
    <xf numFmtId="14" fontId="9" fillId="0" borderId="2" xfId="3" applyNumberFormat="1" applyFont="1" applyFill="1" applyBorder="1" applyAlignment="1" applyProtection="1">
      <alignment horizontal="center" vertical="center"/>
      <protection locked="0"/>
    </xf>
    <xf numFmtId="14" fontId="9" fillId="0" borderId="3" xfId="3" applyNumberFormat="1" applyFont="1" applyFill="1" applyBorder="1" applyAlignment="1" applyProtection="1">
      <alignment horizontal="center" vertical="center"/>
      <protection locked="0"/>
    </xf>
    <xf numFmtId="14" fontId="9" fillId="0" borderId="4" xfId="3" applyNumberFormat="1" applyFont="1" applyFill="1" applyBorder="1" applyAlignment="1" applyProtection="1">
      <alignment horizontal="center" vertical="center"/>
      <protection locked="0"/>
    </xf>
    <xf numFmtId="164" fontId="9" fillId="0" borderId="2" xfId="3" applyNumberFormat="1" applyFont="1" applyFill="1" applyBorder="1" applyAlignment="1" applyProtection="1">
      <alignment horizontal="center" vertical="center"/>
      <protection locked="0"/>
    </xf>
    <xf numFmtId="164" fontId="9" fillId="0" borderId="3" xfId="3" applyNumberFormat="1" applyFont="1" applyFill="1" applyBorder="1" applyAlignment="1" applyProtection="1">
      <alignment horizontal="center" vertical="center"/>
      <protection locked="0"/>
    </xf>
    <xf numFmtId="164" fontId="9" fillId="0" borderId="4" xfId="3" applyNumberFormat="1" applyFont="1" applyFill="1" applyBorder="1" applyAlignment="1" applyProtection="1">
      <alignment horizontal="center" vertical="center"/>
      <protection locked="0"/>
    </xf>
    <xf numFmtId="164" fontId="9" fillId="0" borderId="1" xfId="3" applyNumberFormat="1" applyFont="1" applyFill="1" applyBorder="1" applyAlignment="1" applyProtection="1">
      <alignment horizontal="center" vertical="center" wrapText="1"/>
      <protection locked="0"/>
    </xf>
    <xf numFmtId="164" fontId="4" fillId="0" borderId="2" xfId="3" applyNumberFormat="1" applyFont="1" applyFill="1" applyBorder="1" applyAlignment="1" applyProtection="1">
      <alignment horizontal="left" vertical="center" wrapText="1"/>
      <protection locked="0"/>
    </xf>
    <xf numFmtId="164" fontId="4" fillId="0" borderId="4" xfId="3" applyNumberFormat="1" applyFont="1" applyFill="1" applyBorder="1" applyAlignment="1" applyProtection="1">
      <alignment horizontal="left" vertical="center" wrapText="1"/>
      <protection locked="0"/>
    </xf>
  </cellXfs>
  <cellStyles count="8">
    <cellStyle name="Moeda" xfId="7" builtinId="4"/>
    <cellStyle name="Normal" xfId="0" builtinId="0"/>
    <cellStyle name="Normal 2" xfId="1"/>
    <cellStyle name="Normal 2 2" xfId="2"/>
    <cellStyle name="Normal 4" xfId="3"/>
    <cellStyle name="Porcentagem" xfId="6" builtinId="5"/>
    <cellStyle name="Porcentagem 2" xfId="5"/>
    <cellStyle name="Porcentagem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87904</xdr:colOff>
      <xdr:row>0</xdr:row>
      <xdr:rowOff>39759</xdr:rowOff>
    </xdr:from>
    <xdr:to>
      <xdr:col>2</xdr:col>
      <xdr:colOff>518554</xdr:colOff>
      <xdr:row>4</xdr:row>
      <xdr:rowOff>161925</xdr:rowOff>
    </xdr:to>
    <xdr:pic>
      <xdr:nvPicPr>
        <xdr:cNvPr id="2" name="Picture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04" y="39759"/>
          <a:ext cx="802125" cy="865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1124461</xdr:colOff>
      <xdr:row>63</xdr:row>
      <xdr:rowOff>114293</xdr:rowOff>
    </xdr:from>
    <xdr:to>
      <xdr:col>6</xdr:col>
      <xdr:colOff>91436</xdr:colOff>
      <xdr:row>67</xdr:row>
      <xdr:rowOff>142868</xdr:rowOff>
    </xdr:to>
    <xdr:sp macro="" textlink="">
      <xdr:nvSpPr>
        <xdr:cNvPr id="3" name="CaixaDeTexto 2"/>
        <xdr:cNvSpPr txBox="1"/>
      </xdr:nvSpPr>
      <xdr:spPr>
        <a:xfrm>
          <a:off x="2953261" y="17754593"/>
          <a:ext cx="4424800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00" b="1" u="non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ADRIANO DE OLIVEIRA E SILVA</a:t>
          </a:r>
        </a:p>
        <a:p>
          <a:pPr algn="ctr"/>
          <a:r>
            <a:rPr lang="pt-BR" sz="1000" u="non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Engenheiro</a:t>
          </a:r>
          <a:r>
            <a:rPr lang="pt-BR" sz="1000" u="none" baseline="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 Civil</a:t>
          </a:r>
          <a:endParaRPr lang="pt-BR" sz="1000" u="non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 algn="ctr"/>
          <a:r>
            <a:rPr lang="pt-BR" sz="1000" u="none">
              <a:effectLst/>
              <a:latin typeface="Arial" panose="020B0604020202020204" pitchFamily="7" charset="0"/>
              <a:cs typeface="Arial" panose="020B0604020202020204" pitchFamily="7" charset="0"/>
            </a:rPr>
            <a:t>CREA-SP 5069635272</a:t>
          </a:r>
          <a:endParaRPr lang="pt-BR" altLang="en-US" sz="1000" u="none">
            <a:effectLst/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145054</xdr:colOff>
      <xdr:row>0</xdr:row>
      <xdr:rowOff>20710</xdr:rowOff>
    </xdr:from>
    <xdr:to>
      <xdr:col>1</xdr:col>
      <xdr:colOff>676275</xdr:colOff>
      <xdr:row>4</xdr:row>
      <xdr:rowOff>11751</xdr:rowOff>
    </xdr:to>
    <xdr:pic>
      <xdr:nvPicPr>
        <xdr:cNvPr id="3" name="Picture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654" y="20710"/>
          <a:ext cx="531221" cy="733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219075</xdr:colOff>
      <xdr:row>37</xdr:row>
      <xdr:rowOff>0</xdr:rowOff>
    </xdr:from>
    <xdr:to>
      <xdr:col>2</xdr:col>
      <xdr:colOff>2834125</xdr:colOff>
      <xdr:row>42</xdr:row>
      <xdr:rowOff>0</xdr:rowOff>
    </xdr:to>
    <xdr:sp macro="" textlink="">
      <xdr:nvSpPr>
        <xdr:cNvPr id="4" name="CaixaDeTexto 3"/>
        <xdr:cNvSpPr txBox="1"/>
      </xdr:nvSpPr>
      <xdr:spPr>
        <a:xfrm>
          <a:off x="828675" y="5676900"/>
          <a:ext cx="33389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000" b="1" u="non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ADRIANO DE OLIVEIRA E SILVA</a:t>
          </a:r>
        </a:p>
        <a:p>
          <a:pPr algn="ctr"/>
          <a:r>
            <a:rPr lang="pt-BR" sz="1000" u="none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Engenheiro</a:t>
          </a:r>
          <a:r>
            <a:rPr lang="pt-BR" sz="1000" u="none" baseline="0">
              <a:solidFill>
                <a:schemeClr val="dk1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 Civil</a:t>
          </a:r>
          <a:endParaRPr lang="pt-BR" sz="1000" u="none">
            <a:solidFill>
              <a:schemeClr val="dk1"/>
            </a:solidFill>
            <a:effectLst/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 algn="ctr"/>
          <a:r>
            <a:rPr lang="pt-BR" sz="1000" u="none">
              <a:effectLst/>
              <a:latin typeface="Arial" panose="020B0604020202020204" pitchFamily="7" charset="0"/>
              <a:cs typeface="Arial" panose="020B0604020202020204" pitchFamily="7" charset="0"/>
            </a:rPr>
            <a:t>CREA-SP 5069635272</a:t>
          </a:r>
          <a:endParaRPr lang="pt-BR" altLang="en-US" sz="1000" u="none">
            <a:effectLst/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6"/>
  <sheetViews>
    <sheetView tabSelected="1" zoomScaleNormal="100" workbookViewId="0"/>
  </sheetViews>
  <sheetFormatPr defaultRowHeight="12"/>
  <cols>
    <col min="1" max="2" width="9.140625" style="1"/>
    <col min="3" max="3" width="9.140625" style="1" customWidth="1"/>
    <col min="4" max="4" width="62.5703125" style="1" customWidth="1"/>
    <col min="5" max="5" width="9.140625" style="1"/>
    <col min="6" max="6" width="10.140625" style="1" bestFit="1" customWidth="1"/>
    <col min="7" max="7" width="12.85546875" style="1" customWidth="1"/>
    <col min="8" max="8" width="14.140625" style="1" bestFit="1" customWidth="1"/>
    <col min="9" max="9" width="8.5703125" style="1" customWidth="1"/>
    <col min="10" max="10" width="13.85546875" style="1" bestFit="1" customWidth="1"/>
    <col min="11" max="11" width="14.7109375" style="1" bestFit="1" customWidth="1"/>
    <col min="12" max="12" width="12" style="1" bestFit="1" customWidth="1"/>
    <col min="13" max="13" width="12.5703125" style="1" bestFit="1" customWidth="1"/>
    <col min="14" max="16384" width="9.140625" style="1"/>
  </cols>
  <sheetData>
    <row r="1" spans="2:12" ht="15">
      <c r="B1" s="62" t="s">
        <v>29</v>
      </c>
      <c r="C1" s="62"/>
      <c r="D1" s="62"/>
      <c r="E1" s="62"/>
      <c r="F1" s="62"/>
      <c r="G1" s="62"/>
      <c r="H1" s="62"/>
      <c r="I1" s="62"/>
    </row>
    <row r="2" spans="2:12" ht="15">
      <c r="B2" s="62" t="s">
        <v>30</v>
      </c>
      <c r="C2" s="62"/>
      <c r="D2" s="62"/>
      <c r="E2" s="62"/>
      <c r="F2" s="62"/>
      <c r="G2" s="62"/>
      <c r="H2" s="62"/>
      <c r="I2" s="62"/>
    </row>
    <row r="3" spans="2:12" ht="14.25">
      <c r="B3" s="63" t="s">
        <v>31</v>
      </c>
      <c r="C3" s="63"/>
      <c r="D3" s="63"/>
      <c r="E3" s="63"/>
      <c r="F3" s="63"/>
      <c r="G3" s="63"/>
      <c r="H3" s="63"/>
      <c r="I3" s="63"/>
    </row>
    <row r="4" spans="2:12" ht="14.25">
      <c r="B4" s="19"/>
      <c r="C4" s="19"/>
      <c r="D4" s="20"/>
      <c r="E4" s="19"/>
      <c r="F4" s="19"/>
      <c r="G4" s="19"/>
      <c r="H4" s="19"/>
      <c r="I4" s="19"/>
    </row>
    <row r="5" spans="2:12" ht="14.25">
      <c r="B5" s="19"/>
      <c r="C5" s="19"/>
      <c r="D5" s="20"/>
      <c r="E5" s="19"/>
      <c r="F5" s="19"/>
      <c r="G5" s="19"/>
      <c r="H5" s="19"/>
      <c r="I5" s="19"/>
    </row>
    <row r="6" spans="2:12" ht="15.75">
      <c r="B6" s="64" t="s">
        <v>32</v>
      </c>
      <c r="C6" s="64"/>
      <c r="D6" s="64"/>
      <c r="E6" s="64"/>
      <c r="F6" s="64"/>
      <c r="G6" s="64"/>
      <c r="H6" s="64"/>
      <c r="I6" s="64"/>
    </row>
    <row r="7" spans="2:12" ht="25.5">
      <c r="B7" s="65" t="s">
        <v>33</v>
      </c>
      <c r="C7" s="66"/>
      <c r="D7" s="47" t="s">
        <v>78</v>
      </c>
      <c r="E7" s="48" t="s">
        <v>34</v>
      </c>
      <c r="F7" s="50">
        <v>0.2</v>
      </c>
      <c r="G7" s="49" t="s">
        <v>35</v>
      </c>
      <c r="H7" s="68">
        <v>45048</v>
      </c>
      <c r="I7" s="68"/>
    </row>
    <row r="8" spans="2:12" ht="25.5" customHeight="1">
      <c r="B8" s="57" t="s">
        <v>36</v>
      </c>
      <c r="C8" s="58"/>
      <c r="D8" s="59" t="s">
        <v>79</v>
      </c>
      <c r="E8" s="59"/>
      <c r="F8" s="59"/>
      <c r="G8" s="59"/>
      <c r="H8" s="59"/>
      <c r="I8" s="59"/>
    </row>
    <row r="9" spans="2:12">
      <c r="B9" s="21"/>
      <c r="C9" s="21"/>
      <c r="D9" s="21"/>
      <c r="E9" s="21"/>
      <c r="F9" s="21"/>
      <c r="G9" s="21"/>
      <c r="H9" s="21"/>
      <c r="I9" s="22">
        <v>0.2</v>
      </c>
    </row>
    <row r="10" spans="2:12" ht="24">
      <c r="B10" s="5" t="s">
        <v>14</v>
      </c>
      <c r="C10" s="15" t="s">
        <v>6</v>
      </c>
      <c r="D10" s="5" t="s">
        <v>16</v>
      </c>
      <c r="E10" s="5" t="s">
        <v>8</v>
      </c>
      <c r="F10" s="5" t="s">
        <v>7</v>
      </c>
      <c r="G10" s="15" t="s">
        <v>9</v>
      </c>
      <c r="H10" s="15" t="s">
        <v>39</v>
      </c>
      <c r="I10" s="5" t="s">
        <v>23</v>
      </c>
    </row>
    <row r="11" spans="2:12">
      <c r="B11" s="37">
        <v>1</v>
      </c>
      <c r="C11" s="53" t="s">
        <v>52</v>
      </c>
      <c r="D11" s="54"/>
      <c r="E11" s="54"/>
      <c r="F11" s="54"/>
      <c r="G11" s="54"/>
      <c r="H11" s="54"/>
      <c r="I11" s="55"/>
    </row>
    <row r="12" spans="2:12">
      <c r="B12" s="6" t="s">
        <v>15</v>
      </c>
      <c r="C12" s="8"/>
      <c r="D12" s="56" t="s">
        <v>53</v>
      </c>
      <c r="E12" s="56"/>
      <c r="F12" s="56"/>
      <c r="G12" s="56"/>
      <c r="H12" s="7">
        <f>SUM(H13:H15)</f>
        <v>3458.87</v>
      </c>
      <c r="I12" s="12">
        <f>ROUNDDOWN(H12/$H$55,4)</f>
        <v>1.01E-2</v>
      </c>
      <c r="L12" s="43"/>
    </row>
    <row r="13" spans="2:12">
      <c r="B13" s="2" t="s">
        <v>81</v>
      </c>
      <c r="C13" s="2" t="s">
        <v>21</v>
      </c>
      <c r="D13" s="10" t="s">
        <v>22</v>
      </c>
      <c r="E13" s="2" t="s">
        <v>0</v>
      </c>
      <c r="F13" s="3">
        <f>2*1.5</f>
        <v>3</v>
      </c>
      <c r="G13" s="4">
        <v>171.96</v>
      </c>
      <c r="H13" s="4">
        <f>ROUNDDOWN(F13*G13*1.2,2)</f>
        <v>619.04999999999995</v>
      </c>
      <c r="I13" s="13">
        <f>ROUNDDOWN(H13/$H$55,4)</f>
        <v>1.8E-3</v>
      </c>
      <c r="K13" s="41"/>
      <c r="L13" s="43"/>
    </row>
    <row r="14" spans="2:12">
      <c r="B14" s="2" t="s">
        <v>82</v>
      </c>
      <c r="C14" s="2" t="s">
        <v>54</v>
      </c>
      <c r="D14" s="10" t="s">
        <v>55</v>
      </c>
      <c r="E14" s="2" t="s">
        <v>0</v>
      </c>
      <c r="F14" s="3">
        <v>603.16</v>
      </c>
      <c r="G14" s="4">
        <v>3.74</v>
      </c>
      <c r="H14" s="4">
        <f>ROUNDDOWN(F14*G14*1.2,2)</f>
        <v>2706.98</v>
      </c>
      <c r="I14" s="13">
        <f t="shared" ref="I14" si="0">ROUNDDOWN(H14/$H$55,4)</f>
        <v>7.9000000000000008E-3</v>
      </c>
      <c r="K14" s="41"/>
      <c r="L14" s="43"/>
    </row>
    <row r="15" spans="2:12">
      <c r="B15" s="2" t="s">
        <v>83</v>
      </c>
      <c r="C15" s="2" t="s">
        <v>12</v>
      </c>
      <c r="D15" s="10" t="s">
        <v>11</v>
      </c>
      <c r="E15" s="2" t="s">
        <v>1</v>
      </c>
      <c r="F15" s="3">
        <v>3</v>
      </c>
      <c r="G15" s="4">
        <v>36.9</v>
      </c>
      <c r="H15" s="4">
        <f>ROUNDDOWN(F15*G15*1.2,2)</f>
        <v>132.84</v>
      </c>
      <c r="I15" s="13">
        <f>ROUNDUP(H15/$H$55,4)</f>
        <v>3.9999999999999996E-4</v>
      </c>
      <c r="K15" s="41"/>
      <c r="L15" s="43"/>
    </row>
    <row r="16" spans="2:12">
      <c r="B16" s="6" t="s">
        <v>76</v>
      </c>
      <c r="C16" s="8"/>
      <c r="D16" s="56" t="s">
        <v>20</v>
      </c>
      <c r="E16" s="56"/>
      <c r="F16" s="56"/>
      <c r="G16" s="56"/>
      <c r="H16" s="7">
        <f>SUM(H17:H19)</f>
        <v>124029.09999999999</v>
      </c>
      <c r="I16" s="12">
        <f>ROUNDDOWN(H16/$H$55,4)</f>
        <v>0.36299999999999999</v>
      </c>
      <c r="K16" s="41"/>
      <c r="L16" s="43"/>
    </row>
    <row r="17" spans="2:12">
      <c r="B17" s="2" t="s">
        <v>84</v>
      </c>
      <c r="C17" s="32" t="s">
        <v>120</v>
      </c>
      <c r="D17" s="33" t="s">
        <v>121</v>
      </c>
      <c r="E17" s="32" t="s">
        <v>0</v>
      </c>
      <c r="F17" s="34">
        <f>F14</f>
        <v>603.16</v>
      </c>
      <c r="G17" s="35">
        <v>29.2</v>
      </c>
      <c r="H17" s="4">
        <f>ROUNDUP(F17*G17*1.2,2)</f>
        <v>21134.73</v>
      </c>
      <c r="I17" s="45">
        <f>ROUNDDOWN(H17/$H$55,4)</f>
        <v>6.1800000000000001E-2</v>
      </c>
      <c r="K17" s="41"/>
      <c r="L17" s="43"/>
    </row>
    <row r="18" spans="2:12" ht="36">
      <c r="B18" s="2" t="s">
        <v>85</v>
      </c>
      <c r="C18" s="32" t="s">
        <v>10</v>
      </c>
      <c r="D18" s="33" t="s">
        <v>5</v>
      </c>
      <c r="E18" s="32" t="s">
        <v>0</v>
      </c>
      <c r="F18" s="34">
        <f>F14</f>
        <v>603.16</v>
      </c>
      <c r="G18" s="35">
        <v>128.1</v>
      </c>
      <c r="H18" s="4">
        <f>ROUNDUP(F18*G18*1.2,2)</f>
        <v>92717.759999999995</v>
      </c>
      <c r="I18" s="45">
        <f>ROUNDUP(H18/$H$55,4)</f>
        <v>0.27139999999999997</v>
      </c>
      <c r="K18" s="41"/>
      <c r="L18" s="43"/>
    </row>
    <row r="19" spans="2:12" ht="36">
      <c r="B19" s="2" t="s">
        <v>119</v>
      </c>
      <c r="C19" s="32" t="s">
        <v>56</v>
      </c>
      <c r="D19" s="33" t="s">
        <v>57</v>
      </c>
      <c r="E19" s="32" t="s">
        <v>2</v>
      </c>
      <c r="F19" s="34">
        <f>(123.75-(1+1.4+9+1+1+1+1+0.9+0.9+1+1+1.9+1+2*3.1+9*1))+(19.04-1)+(11.69-0.9)+(23.39-1)+(22.69-1)+(22.74-3*1)+(22.68-3*1)+(23.11-3*1)+(22.79-2*1)+(22.73-2*1)+(22.73-2*1)+(22.73-2*1)+(22.69-1)</f>
        <v>323.56000000000006</v>
      </c>
      <c r="G19" s="35">
        <v>26.21</v>
      </c>
      <c r="H19" s="4">
        <f>ROUNDUP(F19*G19*1.2,2)</f>
        <v>10176.61</v>
      </c>
      <c r="I19" s="13">
        <f>ROUNDUP(H19/$H$55,4)</f>
        <v>2.98E-2</v>
      </c>
      <c r="K19" s="41"/>
      <c r="L19" s="43"/>
    </row>
    <row r="20" spans="2:12">
      <c r="B20" s="6" t="s">
        <v>77</v>
      </c>
      <c r="C20" s="8"/>
      <c r="D20" s="56" t="s">
        <v>63</v>
      </c>
      <c r="E20" s="56"/>
      <c r="F20" s="56"/>
      <c r="G20" s="56"/>
      <c r="H20" s="7">
        <f>SUM(H21:H27)</f>
        <v>5105.3399999999992</v>
      </c>
      <c r="I20" s="12">
        <f>ROUNDUP(H20/$H$55,4)</f>
        <v>1.4999999999999999E-2</v>
      </c>
      <c r="K20" s="41"/>
      <c r="L20" s="43"/>
    </row>
    <row r="21" spans="2:12">
      <c r="B21" s="2" t="s">
        <v>86</v>
      </c>
      <c r="C21" s="14" t="s">
        <v>66</v>
      </c>
      <c r="D21" s="9" t="s">
        <v>67</v>
      </c>
      <c r="E21" s="2" t="s">
        <v>2</v>
      </c>
      <c r="F21" s="3">
        <f>ROUNDUP(37.25/2.5,0)*2.5</f>
        <v>37.5</v>
      </c>
      <c r="G21" s="4">
        <v>57.37</v>
      </c>
      <c r="H21" s="4">
        <f>ROUNDUP(F21*G21*1.2,2)</f>
        <v>2581.65</v>
      </c>
      <c r="I21" s="13">
        <f>ROUNDUP(H21/$H$55,4)</f>
        <v>7.6E-3</v>
      </c>
      <c r="K21" s="41"/>
      <c r="L21" s="43"/>
    </row>
    <row r="22" spans="2:12">
      <c r="B22" s="2" t="s">
        <v>87</v>
      </c>
      <c r="C22" s="14" t="s">
        <v>117</v>
      </c>
      <c r="D22" s="9" t="s">
        <v>118</v>
      </c>
      <c r="E22" s="2" t="s">
        <v>0</v>
      </c>
      <c r="F22" s="3">
        <f>(37.25-2.5)*0.2</f>
        <v>6.95</v>
      </c>
      <c r="G22" s="4">
        <v>78.14</v>
      </c>
      <c r="H22" s="4">
        <f>ROUNDUP(F22*G22*1.2,2)</f>
        <v>651.68999999999994</v>
      </c>
      <c r="I22" s="13">
        <f>ROUNDDOWN(H22/$H$55,4)</f>
        <v>1.9E-3</v>
      </c>
      <c r="K22" s="41"/>
      <c r="L22" s="43"/>
    </row>
    <row r="23" spans="2:12">
      <c r="B23" s="2" t="s">
        <v>88</v>
      </c>
      <c r="C23" s="14" t="s">
        <v>68</v>
      </c>
      <c r="D23" s="9" t="s">
        <v>64</v>
      </c>
      <c r="E23" s="2" t="s">
        <v>0</v>
      </c>
      <c r="F23" s="3">
        <f>ROUNDUP(F22*2+(37.25-2.5)*0.15,2)</f>
        <v>19.12</v>
      </c>
      <c r="G23" s="4">
        <v>6.21</v>
      </c>
      <c r="H23" s="4">
        <f>ROUNDDOWN(F23*G23*1.2,2)</f>
        <v>142.47999999999999</v>
      </c>
      <c r="I23" s="13">
        <f>ROUNDDOWN(H23/$H$55,4)</f>
        <v>4.0000000000000002E-4</v>
      </c>
      <c r="K23" s="41"/>
      <c r="L23" s="43"/>
    </row>
    <row r="24" spans="2:12">
      <c r="B24" s="2" t="s">
        <v>89</v>
      </c>
      <c r="C24" s="14" t="s">
        <v>69</v>
      </c>
      <c r="D24" s="9" t="s">
        <v>70</v>
      </c>
      <c r="E24" s="2" t="s">
        <v>0</v>
      </c>
      <c r="F24" s="3">
        <f>F23</f>
        <v>19.12</v>
      </c>
      <c r="G24" s="4">
        <v>20.34</v>
      </c>
      <c r="H24" s="4">
        <f>ROUNDDOWN(F24*G24*1.2,2)</f>
        <v>466.68</v>
      </c>
      <c r="I24" s="13">
        <f>ROUNDUP(H24/$H$55,4)</f>
        <v>1.4E-3</v>
      </c>
      <c r="K24" s="41"/>
      <c r="L24" s="43"/>
    </row>
    <row r="25" spans="2:12">
      <c r="B25" s="2" t="s">
        <v>90</v>
      </c>
      <c r="C25" s="16" t="s">
        <v>71</v>
      </c>
      <c r="D25" s="17" t="s">
        <v>65</v>
      </c>
      <c r="E25" s="2" t="s">
        <v>0</v>
      </c>
      <c r="F25" s="11">
        <f>F23</f>
        <v>19.12</v>
      </c>
      <c r="G25" s="18">
        <v>11.41</v>
      </c>
      <c r="H25" s="4">
        <f>ROUNDDOWN(F25*G25*1.2,2)</f>
        <v>261.79000000000002</v>
      </c>
      <c r="I25" s="13">
        <f>ROUNDUP(H25/$H$55,4)</f>
        <v>8.0000000000000004E-4</v>
      </c>
      <c r="K25" s="41"/>
      <c r="L25" s="43"/>
    </row>
    <row r="26" spans="2:12">
      <c r="B26" s="2" t="s">
        <v>91</v>
      </c>
      <c r="C26" s="16" t="s">
        <v>72</v>
      </c>
      <c r="D26" s="17" t="s">
        <v>73</v>
      </c>
      <c r="E26" s="2" t="s">
        <v>0</v>
      </c>
      <c r="F26" s="11">
        <f>F23</f>
        <v>19.12</v>
      </c>
      <c r="G26" s="18">
        <v>15.23</v>
      </c>
      <c r="H26" s="4">
        <f t="shared" ref="H26" si="1">ROUNDUP(F26*G26*1.2,2)</f>
        <v>349.44</v>
      </c>
      <c r="I26" s="13">
        <f t="shared" ref="I26:I29" si="2">ROUNDDOWN(H26/$H$55,4)</f>
        <v>1E-3</v>
      </c>
      <c r="K26" s="41"/>
      <c r="L26" s="43"/>
    </row>
    <row r="27" spans="2:12">
      <c r="B27" s="2" t="s">
        <v>92</v>
      </c>
      <c r="C27" s="16" t="s">
        <v>13</v>
      </c>
      <c r="D27" s="17" t="s">
        <v>74</v>
      </c>
      <c r="E27" s="2" t="s">
        <v>0</v>
      </c>
      <c r="F27" s="11">
        <f>F23</f>
        <v>19.12</v>
      </c>
      <c r="G27" s="18">
        <v>28.4</v>
      </c>
      <c r="H27" s="4">
        <f t="shared" ref="H27" si="3">ROUNDUP(F27*G27*1.2,2)</f>
        <v>651.61</v>
      </c>
      <c r="I27" s="13">
        <f t="shared" si="2"/>
        <v>1.9E-3</v>
      </c>
      <c r="K27" s="41"/>
      <c r="L27" s="43"/>
    </row>
    <row r="28" spans="2:12">
      <c r="B28" s="6" t="s">
        <v>80</v>
      </c>
      <c r="C28" s="8"/>
      <c r="D28" s="56" t="s">
        <v>58</v>
      </c>
      <c r="E28" s="56"/>
      <c r="F28" s="56"/>
      <c r="G28" s="56"/>
      <c r="H28" s="7">
        <f>SUM(H29:H30)</f>
        <v>61969.63</v>
      </c>
      <c r="I28" s="12">
        <f>ROUNDUP(H28/$H$55,4)</f>
        <v>0.18139999999999998</v>
      </c>
      <c r="K28" s="41"/>
      <c r="L28" s="43"/>
    </row>
    <row r="29" spans="2:12">
      <c r="B29" s="2" t="s">
        <v>93</v>
      </c>
      <c r="C29" s="14" t="s">
        <v>59</v>
      </c>
      <c r="D29" s="9" t="s">
        <v>61</v>
      </c>
      <c r="E29" s="2" t="s">
        <v>0</v>
      </c>
      <c r="F29" s="3">
        <f>23.98+48.38</f>
        <v>72.36</v>
      </c>
      <c r="G29" s="4">
        <v>644.55999999999995</v>
      </c>
      <c r="H29" s="4">
        <f>ROUNDDOWN(F29*G29*1.2,2)</f>
        <v>55968.43</v>
      </c>
      <c r="I29" s="13">
        <f t="shared" si="2"/>
        <v>0.1638</v>
      </c>
      <c r="K29" s="41"/>
      <c r="L29" s="43"/>
    </row>
    <row r="30" spans="2:12">
      <c r="B30" s="2" t="s">
        <v>94</v>
      </c>
      <c r="C30" s="16" t="s">
        <v>60</v>
      </c>
      <c r="D30" s="17" t="s">
        <v>62</v>
      </c>
      <c r="E30" s="2" t="s">
        <v>0</v>
      </c>
      <c r="F30" s="11">
        <v>5.69</v>
      </c>
      <c r="G30" s="18">
        <v>878.91</v>
      </c>
      <c r="H30" s="4">
        <f t="shared" ref="H30" si="4">ROUNDUP(F30*G30*1.2,2)</f>
        <v>6001.2</v>
      </c>
      <c r="I30" s="13">
        <f>ROUNDUP(H30/$H$55,4)</f>
        <v>1.7600000000000001E-2</v>
      </c>
      <c r="K30" s="41"/>
      <c r="L30" s="43"/>
    </row>
    <row r="31" spans="2:12">
      <c r="B31" s="6" t="s">
        <v>95</v>
      </c>
      <c r="C31" s="8"/>
      <c r="D31" s="56" t="s">
        <v>24</v>
      </c>
      <c r="E31" s="56"/>
      <c r="F31" s="56"/>
      <c r="G31" s="56"/>
      <c r="H31" s="7">
        <f>SUM(H32:H33)</f>
        <v>8761.5</v>
      </c>
      <c r="I31" s="12">
        <f>ROUNDDOWN(H31/$H$55,4)</f>
        <v>2.5600000000000001E-2</v>
      </c>
      <c r="K31" s="41"/>
      <c r="L31" s="43"/>
    </row>
    <row r="32" spans="2:12">
      <c r="B32" s="2" t="s">
        <v>96</v>
      </c>
      <c r="C32" s="2" t="s">
        <v>25</v>
      </c>
      <c r="D32" s="10" t="s">
        <v>26</v>
      </c>
      <c r="E32" s="2" t="s">
        <v>0</v>
      </c>
      <c r="F32" s="3">
        <f>F14</f>
        <v>603.16</v>
      </c>
      <c r="G32" s="4">
        <v>11.81</v>
      </c>
      <c r="H32" s="4">
        <f>ROUNDDOWN(F32*G32*1.2,2)</f>
        <v>8547.98</v>
      </c>
      <c r="I32" s="13">
        <f>ROUNDDOWN(H32/$H$55,4)</f>
        <v>2.5000000000000001E-2</v>
      </c>
      <c r="K32" s="41"/>
      <c r="L32" s="43"/>
    </row>
    <row r="33" spans="2:12">
      <c r="B33" s="2" t="s">
        <v>97</v>
      </c>
      <c r="C33" s="2" t="s">
        <v>27</v>
      </c>
      <c r="D33" s="10" t="s">
        <v>28</v>
      </c>
      <c r="E33" s="2" t="s">
        <v>1</v>
      </c>
      <c r="F33" s="3">
        <f>F15</f>
        <v>3</v>
      </c>
      <c r="G33" s="4">
        <v>59.31</v>
      </c>
      <c r="H33" s="4">
        <f t="shared" ref="H33" si="5">ROUNDUP(F33*G33*1.2,2)</f>
        <v>213.51999999999998</v>
      </c>
      <c r="I33" s="13">
        <f>ROUNDDOWN(H33/$H$55,4)</f>
        <v>5.9999999999999995E-4</v>
      </c>
      <c r="K33" s="41"/>
      <c r="L33" s="43"/>
    </row>
    <row r="34" spans="2:12">
      <c r="B34" s="37">
        <v>2</v>
      </c>
      <c r="C34" s="53" t="s">
        <v>75</v>
      </c>
      <c r="D34" s="54"/>
      <c r="E34" s="54"/>
      <c r="F34" s="54"/>
      <c r="G34" s="54"/>
      <c r="H34" s="54"/>
      <c r="I34" s="55"/>
      <c r="K34" s="41"/>
      <c r="L34" s="43"/>
    </row>
    <row r="35" spans="2:12">
      <c r="B35" s="6" t="s">
        <v>17</v>
      </c>
      <c r="C35" s="8"/>
      <c r="D35" s="56" t="s">
        <v>53</v>
      </c>
      <c r="E35" s="56"/>
      <c r="F35" s="56"/>
      <c r="G35" s="56"/>
      <c r="H35" s="7">
        <f>SUM(H36:H37)</f>
        <v>1952.1299999999999</v>
      </c>
      <c r="I35" s="12">
        <f>ROUNDDOWN(H35/$H$55,4)</f>
        <v>5.7000000000000002E-3</v>
      </c>
      <c r="K35" s="51"/>
      <c r="L35" s="43"/>
    </row>
    <row r="36" spans="2:12">
      <c r="B36" s="2" t="s">
        <v>98</v>
      </c>
      <c r="C36" s="2" t="s">
        <v>21</v>
      </c>
      <c r="D36" s="10" t="s">
        <v>22</v>
      </c>
      <c r="E36" s="2" t="s">
        <v>0</v>
      </c>
      <c r="F36" s="3">
        <f>2*1.5</f>
        <v>3</v>
      </c>
      <c r="G36" s="4">
        <v>171.96</v>
      </c>
      <c r="H36" s="4">
        <f>ROUNDUP(F36*G36*1.2,2)</f>
        <v>619.05999999999995</v>
      </c>
      <c r="I36" s="13">
        <f>ROUNDDOWN(H36/$H$55,4)</f>
        <v>1.8E-3</v>
      </c>
      <c r="K36" s="41"/>
      <c r="L36" s="43"/>
    </row>
    <row r="37" spans="2:12">
      <c r="B37" s="2" t="s">
        <v>99</v>
      </c>
      <c r="C37" s="2" t="s">
        <v>54</v>
      </c>
      <c r="D37" s="10" t="s">
        <v>55</v>
      </c>
      <c r="E37" s="2" t="s">
        <v>0</v>
      </c>
      <c r="F37" s="3">
        <v>297.02999999999997</v>
      </c>
      <c r="G37" s="4">
        <v>3.74</v>
      </c>
      <c r="H37" s="4">
        <f>ROUNDDOWN(F37*G37*1.2,2)</f>
        <v>1333.07</v>
      </c>
      <c r="I37" s="13">
        <f>ROUNDDOWN(H37/$H$55,4)</f>
        <v>3.8999999999999998E-3</v>
      </c>
      <c r="K37" s="41"/>
      <c r="L37" s="43"/>
    </row>
    <row r="38" spans="2:12">
      <c r="B38" s="6" t="s">
        <v>18</v>
      </c>
      <c r="C38" s="8"/>
      <c r="D38" s="56" t="s">
        <v>20</v>
      </c>
      <c r="E38" s="56"/>
      <c r="F38" s="56"/>
      <c r="G38" s="56"/>
      <c r="H38" s="7">
        <f>SUM(H39:H41)</f>
        <v>62483.59</v>
      </c>
      <c r="I38" s="12">
        <f>ROUNDUP(H38/$H$55,4)</f>
        <v>0.18289999999999998</v>
      </c>
      <c r="K38" s="51"/>
      <c r="L38" s="43"/>
    </row>
    <row r="39" spans="2:12">
      <c r="B39" s="2" t="s">
        <v>100</v>
      </c>
      <c r="C39" s="32" t="s">
        <v>120</v>
      </c>
      <c r="D39" s="33" t="s">
        <v>121</v>
      </c>
      <c r="E39" s="32" t="s">
        <v>0</v>
      </c>
      <c r="F39" s="34">
        <f>F37</f>
        <v>297.02999999999997</v>
      </c>
      <c r="G39" s="35">
        <v>29.2</v>
      </c>
      <c r="H39" s="4">
        <f>ROUNDDOWN(F39*G39*1.2,2)</f>
        <v>10407.93</v>
      </c>
      <c r="I39" s="45">
        <f>ROUNDUP(H39/$H$55,4)</f>
        <v>3.0499999999999999E-2</v>
      </c>
      <c r="K39" s="41"/>
      <c r="L39" s="43"/>
    </row>
    <row r="40" spans="2:12" ht="36">
      <c r="B40" s="2" t="s">
        <v>101</v>
      </c>
      <c r="C40" s="32" t="s">
        <v>10</v>
      </c>
      <c r="D40" s="33" t="s">
        <v>5</v>
      </c>
      <c r="E40" s="32" t="s">
        <v>0</v>
      </c>
      <c r="F40" s="34">
        <f>F37</f>
        <v>297.02999999999997</v>
      </c>
      <c r="G40" s="35">
        <v>128.1</v>
      </c>
      <c r="H40" s="4">
        <f>ROUNDDOWN(F40*G40*1.2,2)</f>
        <v>45659.45</v>
      </c>
      <c r="I40" s="45">
        <f t="shared" ref="I40:I52" si="6">ROUNDDOWN(H40/$H$55,4)</f>
        <v>0.1336</v>
      </c>
      <c r="K40" s="41"/>
      <c r="L40" s="43"/>
    </row>
    <row r="41" spans="2:12" ht="36">
      <c r="B41" s="2" t="s">
        <v>122</v>
      </c>
      <c r="C41" s="32" t="s">
        <v>56</v>
      </c>
      <c r="D41" s="33" t="s">
        <v>57</v>
      </c>
      <c r="E41" s="32" t="s">
        <v>2</v>
      </c>
      <c r="F41" s="34">
        <f>(22.69-1)+(22.74-2*1)+(22.74-2*1)+(22.74-2*1)+(22.74-2*1)+(23.1-3*1)+(22.74-3*1)+(22.74-3*1)+(22.69-1)+(19.08-1)</f>
        <v>204</v>
      </c>
      <c r="G41" s="35">
        <v>26.21</v>
      </c>
      <c r="H41" s="4">
        <f>ROUNDUP(F41*G41*1.2,2)</f>
        <v>6416.21</v>
      </c>
      <c r="I41" s="13">
        <f>ROUNDUP(H41/$H$55,4)</f>
        <v>1.8800000000000001E-2</v>
      </c>
      <c r="K41" s="41"/>
      <c r="L41" s="43"/>
    </row>
    <row r="42" spans="2:12">
      <c r="B42" s="6" t="s">
        <v>19</v>
      </c>
      <c r="C42" s="8"/>
      <c r="D42" s="56" t="s">
        <v>63</v>
      </c>
      <c r="E42" s="56"/>
      <c r="F42" s="56"/>
      <c r="G42" s="56"/>
      <c r="H42" s="7">
        <f>SUM(H43:H49)</f>
        <v>5188.0999999999995</v>
      </c>
      <c r="I42" s="12">
        <f>ROUNDUP(H42/$H$55,4)</f>
        <v>1.52E-2</v>
      </c>
      <c r="K42" s="41"/>
      <c r="L42" s="43"/>
    </row>
    <row r="43" spans="2:12">
      <c r="B43" s="2" t="s">
        <v>108</v>
      </c>
      <c r="C43" s="14" t="s">
        <v>66</v>
      </c>
      <c r="D43" s="9" t="s">
        <v>67</v>
      </c>
      <c r="E43" s="2" t="s">
        <v>2</v>
      </c>
      <c r="F43" s="11">
        <f>ROUNDUP(35.9/2.5,0)*2.5</f>
        <v>37.5</v>
      </c>
      <c r="G43" s="4">
        <v>57.37</v>
      </c>
      <c r="H43" s="4">
        <f>ROUNDDOWN(F43*G43*1.2,2)</f>
        <v>2581.65</v>
      </c>
      <c r="I43" s="13">
        <f t="shared" si="6"/>
        <v>7.4999999999999997E-3</v>
      </c>
      <c r="K43" s="41"/>
      <c r="L43" s="43"/>
    </row>
    <row r="44" spans="2:12">
      <c r="B44" s="2" t="s">
        <v>109</v>
      </c>
      <c r="C44" s="14" t="s">
        <v>117</v>
      </c>
      <c r="D44" s="9" t="s">
        <v>118</v>
      </c>
      <c r="E44" s="2" t="s">
        <v>0</v>
      </c>
      <c r="F44" s="11">
        <f>35.9*0.2</f>
        <v>7.18</v>
      </c>
      <c r="G44" s="4">
        <v>78.14</v>
      </c>
      <c r="H44" s="4">
        <f>ROUNDDOWN(F44*G44*1.2,2)</f>
        <v>673.25</v>
      </c>
      <c r="I44" s="13">
        <f>ROUNDUP(H44/$H$55,4)</f>
        <v>2E-3</v>
      </c>
      <c r="K44" s="41"/>
      <c r="L44" s="43"/>
    </row>
    <row r="45" spans="2:12">
      <c r="B45" s="2" t="s">
        <v>110</v>
      </c>
      <c r="C45" s="14" t="s">
        <v>68</v>
      </c>
      <c r="D45" s="9" t="s">
        <v>64</v>
      </c>
      <c r="E45" s="2" t="s">
        <v>0</v>
      </c>
      <c r="F45" s="11">
        <f>F44*2+35.9*0.15</f>
        <v>19.744999999999997</v>
      </c>
      <c r="G45" s="4">
        <v>6.21</v>
      </c>
      <c r="H45" s="4">
        <f t="shared" ref="H45:H49" si="7">ROUNDUP(F45*G45*1.2,2)</f>
        <v>147.13999999999999</v>
      </c>
      <c r="I45" s="45">
        <f t="shared" si="6"/>
        <v>4.0000000000000002E-4</v>
      </c>
      <c r="K45" s="41"/>
      <c r="L45" s="43"/>
    </row>
    <row r="46" spans="2:12">
      <c r="B46" s="2" t="s">
        <v>111</v>
      </c>
      <c r="C46" s="14" t="s">
        <v>69</v>
      </c>
      <c r="D46" s="9" t="s">
        <v>70</v>
      </c>
      <c r="E46" s="2" t="s">
        <v>0</v>
      </c>
      <c r="F46" s="11">
        <f>F45</f>
        <v>19.744999999999997</v>
      </c>
      <c r="G46" s="4">
        <v>20.34</v>
      </c>
      <c r="H46" s="4">
        <f t="shared" si="7"/>
        <v>481.94</v>
      </c>
      <c r="I46" s="13">
        <f t="shared" si="6"/>
        <v>1.4E-3</v>
      </c>
      <c r="K46" s="41"/>
      <c r="L46" s="43"/>
    </row>
    <row r="47" spans="2:12">
      <c r="B47" s="2" t="s">
        <v>112</v>
      </c>
      <c r="C47" s="16" t="s">
        <v>71</v>
      </c>
      <c r="D47" s="17" t="s">
        <v>65</v>
      </c>
      <c r="E47" s="2" t="s">
        <v>0</v>
      </c>
      <c r="F47" s="11">
        <f>F45</f>
        <v>19.744999999999997</v>
      </c>
      <c r="G47" s="18">
        <v>11.41</v>
      </c>
      <c r="H47" s="4">
        <f t="shared" si="7"/>
        <v>270.34999999999997</v>
      </c>
      <c r="I47" s="13">
        <f>ROUNDUP(H47/$H$55,4)</f>
        <v>8.0000000000000004E-4</v>
      </c>
      <c r="K47" s="41"/>
      <c r="L47" s="43"/>
    </row>
    <row r="48" spans="2:12">
      <c r="B48" s="2" t="s">
        <v>113</v>
      </c>
      <c r="C48" s="16" t="s">
        <v>72</v>
      </c>
      <c r="D48" s="17" t="s">
        <v>73</v>
      </c>
      <c r="E48" s="2" t="s">
        <v>0</v>
      </c>
      <c r="F48" s="11">
        <f>F45</f>
        <v>19.744999999999997</v>
      </c>
      <c r="G48" s="18">
        <v>15.23</v>
      </c>
      <c r="H48" s="4">
        <f t="shared" si="7"/>
        <v>360.86</v>
      </c>
      <c r="I48" s="13">
        <f>ROUNDUP(H48/$H$55,4)</f>
        <v>1.1000000000000001E-3</v>
      </c>
      <c r="K48" s="41"/>
      <c r="L48" s="43"/>
    </row>
    <row r="49" spans="2:12">
      <c r="B49" s="2" t="s">
        <v>114</v>
      </c>
      <c r="C49" s="16" t="s">
        <v>13</v>
      </c>
      <c r="D49" s="17" t="s">
        <v>74</v>
      </c>
      <c r="E49" s="2" t="s">
        <v>0</v>
      </c>
      <c r="F49" s="11">
        <f>F45</f>
        <v>19.744999999999997</v>
      </c>
      <c r="G49" s="18">
        <v>28.4</v>
      </c>
      <c r="H49" s="4">
        <f t="shared" si="7"/>
        <v>672.91</v>
      </c>
      <c r="I49" s="13">
        <f>ROUNDUP(H49/$H$55,4)</f>
        <v>2E-3</v>
      </c>
      <c r="K49" s="41"/>
      <c r="L49" s="43"/>
    </row>
    <row r="50" spans="2:12">
      <c r="B50" s="6" t="s">
        <v>103</v>
      </c>
      <c r="C50" s="8"/>
      <c r="D50" s="56" t="s">
        <v>58</v>
      </c>
      <c r="E50" s="56"/>
      <c r="F50" s="56"/>
      <c r="G50" s="56"/>
      <c r="H50" s="7">
        <f>SUM(H51:H52)</f>
        <v>64506.01</v>
      </c>
      <c r="I50" s="12">
        <f>ROUNDUP(H50/$H$55,4)</f>
        <v>0.1888</v>
      </c>
      <c r="K50" s="41"/>
      <c r="L50" s="43"/>
    </row>
    <row r="51" spans="2:12">
      <c r="B51" s="2" t="s">
        <v>106</v>
      </c>
      <c r="C51" s="14" t="s">
        <v>59</v>
      </c>
      <c r="D51" s="9" t="s">
        <v>61</v>
      </c>
      <c r="E51" s="2" t="s">
        <v>0</v>
      </c>
      <c r="F51" s="11">
        <f>35.36+3.33+10.65+6.65</f>
        <v>55.989999999999995</v>
      </c>
      <c r="G51" s="4">
        <v>644.55999999999995</v>
      </c>
      <c r="H51" s="4">
        <f>ROUNDUP(F51*G51*1.2,2)</f>
        <v>43306.700000000004</v>
      </c>
      <c r="I51" s="45">
        <f>ROUNDUP(H51/$H$55,4)</f>
        <v>0.1268</v>
      </c>
      <c r="K51" s="41"/>
      <c r="L51" s="43"/>
    </row>
    <row r="52" spans="2:12">
      <c r="B52" s="2" t="s">
        <v>107</v>
      </c>
      <c r="C52" s="16" t="s">
        <v>60</v>
      </c>
      <c r="D52" s="17" t="s">
        <v>62</v>
      </c>
      <c r="E52" s="2" t="s">
        <v>0</v>
      </c>
      <c r="F52" s="11">
        <f>7+6.1+7</f>
        <v>20.100000000000001</v>
      </c>
      <c r="G52" s="18">
        <v>878.91</v>
      </c>
      <c r="H52" s="4">
        <f t="shared" ref="H52" si="8">ROUNDUP(F52*G52*1.2,2)</f>
        <v>21199.309999999998</v>
      </c>
      <c r="I52" s="45">
        <f t="shared" si="6"/>
        <v>6.2E-2</v>
      </c>
      <c r="K52" s="41"/>
      <c r="L52" s="43"/>
    </row>
    <row r="53" spans="2:12">
      <c r="B53" s="6" t="s">
        <v>104</v>
      </c>
      <c r="C53" s="8"/>
      <c r="D53" s="56" t="s">
        <v>24</v>
      </c>
      <c r="E53" s="56"/>
      <c r="F53" s="56"/>
      <c r="G53" s="56"/>
      <c r="H53" s="7">
        <f>SUM(H54:H54)</f>
        <v>4209.51</v>
      </c>
      <c r="I53" s="12">
        <f>ROUNDDOWN(H53/$H$55,4)</f>
        <v>1.23E-2</v>
      </c>
      <c r="K53" s="41"/>
      <c r="L53" s="43"/>
    </row>
    <row r="54" spans="2:12">
      <c r="B54" s="2" t="s">
        <v>105</v>
      </c>
      <c r="C54" s="2" t="s">
        <v>25</v>
      </c>
      <c r="D54" s="10" t="s">
        <v>26</v>
      </c>
      <c r="E54" s="2" t="s">
        <v>0</v>
      </c>
      <c r="F54" s="3">
        <f>F37</f>
        <v>297.02999999999997</v>
      </c>
      <c r="G54" s="4">
        <v>11.81</v>
      </c>
      <c r="H54" s="4">
        <f t="shared" ref="H54" si="9">ROUNDUP(F54*G54*1.2,2)</f>
        <v>4209.51</v>
      </c>
      <c r="I54" s="13">
        <f>ROUNDDOWN(H54/$H$55,4)</f>
        <v>1.23E-2</v>
      </c>
      <c r="K54" s="41"/>
      <c r="L54" s="43"/>
    </row>
    <row r="55" spans="2:12">
      <c r="B55" s="67" t="s">
        <v>38</v>
      </c>
      <c r="C55" s="67"/>
      <c r="D55" s="67"/>
      <c r="E55" s="67"/>
      <c r="F55" s="67"/>
      <c r="G55" s="67"/>
      <c r="H55" s="7">
        <f>(H12+H16+H20+H28+H31)+(H35+H38+H42+H50+H53)</f>
        <v>341663.78</v>
      </c>
      <c r="I55" s="12">
        <f>(I12+I16+I20+I28+I31)+(I35+I38+I42+I50+I53)</f>
        <v>0.99999999999999989</v>
      </c>
      <c r="L55" s="43"/>
    </row>
    <row r="57" spans="2:12" ht="12.75">
      <c r="B57" s="61" t="s">
        <v>37</v>
      </c>
      <c r="C57" s="61"/>
      <c r="D57" s="61"/>
      <c r="E57" s="61"/>
      <c r="F57" s="61"/>
      <c r="G57" s="61"/>
      <c r="H57" s="61"/>
      <c r="I57" s="61"/>
    </row>
    <row r="58" spans="2:12" ht="12.75">
      <c r="B58" s="52" t="s">
        <v>51</v>
      </c>
      <c r="C58" s="52"/>
      <c r="D58" s="52"/>
      <c r="E58" s="52"/>
      <c r="F58" s="52"/>
      <c r="G58" s="52"/>
      <c r="H58" s="52"/>
      <c r="I58" s="52"/>
    </row>
    <row r="59" spans="2:12" ht="12.75">
      <c r="B59" s="60" t="s">
        <v>102</v>
      </c>
      <c r="C59" s="60"/>
      <c r="D59" s="60"/>
      <c r="E59" s="60"/>
      <c r="F59" s="60"/>
      <c r="G59" s="60"/>
      <c r="H59" s="60"/>
      <c r="I59" s="60"/>
      <c r="K59" s="40"/>
    </row>
    <row r="60" spans="2:12" ht="12.75">
      <c r="B60" s="52" t="s">
        <v>123</v>
      </c>
      <c r="C60" s="52"/>
      <c r="D60" s="52"/>
      <c r="E60" s="52"/>
      <c r="F60" s="52"/>
      <c r="G60" s="52"/>
      <c r="H60" s="52"/>
      <c r="I60" s="52"/>
      <c r="K60" s="40"/>
    </row>
    <row r="61" spans="2:12" ht="12.75" customHeight="1">
      <c r="B61" s="52" t="s">
        <v>124</v>
      </c>
      <c r="C61" s="52"/>
      <c r="D61" s="52"/>
      <c r="E61" s="52"/>
      <c r="F61" s="52"/>
      <c r="G61" s="52"/>
      <c r="H61" s="52"/>
      <c r="I61" s="52"/>
      <c r="K61" s="40"/>
    </row>
    <row r="62" spans="2:12">
      <c r="B62" s="27"/>
      <c r="C62" s="25"/>
      <c r="D62" s="26"/>
      <c r="E62" s="23"/>
      <c r="F62" s="23"/>
      <c r="G62" s="23"/>
      <c r="H62" s="24"/>
      <c r="I62" s="24"/>
      <c r="J62" s="44"/>
    </row>
    <row r="63" spans="2:12">
      <c r="B63" s="27"/>
      <c r="C63" s="25"/>
      <c r="D63" s="26"/>
      <c r="E63" s="23"/>
      <c r="F63" s="23"/>
      <c r="G63" s="23"/>
      <c r="H63" s="24"/>
      <c r="I63" s="24"/>
      <c r="J63" s="44"/>
    </row>
    <row r="64" spans="2:12">
      <c r="B64" s="21"/>
      <c r="C64" s="21"/>
      <c r="D64" s="21"/>
      <c r="E64" s="21"/>
      <c r="F64" s="21"/>
      <c r="G64" s="21"/>
      <c r="H64" s="21"/>
      <c r="I64" s="21"/>
      <c r="J64" s="40"/>
    </row>
    <row r="65" spans="2:10">
      <c r="B65" s="21"/>
      <c r="C65" s="21"/>
      <c r="D65" s="21"/>
      <c r="E65" s="21"/>
      <c r="F65" s="21"/>
      <c r="G65" s="21"/>
      <c r="H65" s="21"/>
      <c r="I65" s="21"/>
      <c r="J65" s="42"/>
    </row>
    <row r="66" spans="2:10">
      <c r="B66" s="21"/>
      <c r="C66" s="21"/>
      <c r="D66" s="21"/>
      <c r="E66" s="21"/>
      <c r="F66" s="21"/>
      <c r="G66" s="21"/>
      <c r="H66" s="21"/>
      <c r="I66" s="21"/>
    </row>
  </sheetData>
  <mergeCells count="26">
    <mergeCell ref="D42:G42"/>
    <mergeCell ref="D50:G50"/>
    <mergeCell ref="D53:G53"/>
    <mergeCell ref="B55:G55"/>
    <mergeCell ref="H7:I7"/>
    <mergeCell ref="B1:I1"/>
    <mergeCell ref="B2:I2"/>
    <mergeCell ref="B3:I3"/>
    <mergeCell ref="B6:I6"/>
    <mergeCell ref="B7:C7"/>
    <mergeCell ref="B60:I60"/>
    <mergeCell ref="B61:I61"/>
    <mergeCell ref="C34:I34"/>
    <mergeCell ref="D31:G31"/>
    <mergeCell ref="B8:C8"/>
    <mergeCell ref="D8:I8"/>
    <mergeCell ref="C11:I11"/>
    <mergeCell ref="B59:I59"/>
    <mergeCell ref="B57:I57"/>
    <mergeCell ref="B58:I58"/>
    <mergeCell ref="D12:G12"/>
    <mergeCell ref="D20:G20"/>
    <mergeCell ref="D28:G28"/>
    <mergeCell ref="D16:G16"/>
    <mergeCell ref="D35:G35"/>
    <mergeCell ref="D38:G38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9"/>
  <sheetViews>
    <sheetView workbookViewId="0"/>
  </sheetViews>
  <sheetFormatPr defaultRowHeight="12"/>
  <cols>
    <col min="1" max="1" width="9.140625" style="1"/>
    <col min="2" max="2" width="10.85546875" style="1" customWidth="1"/>
    <col min="3" max="3" width="51" style="1" customWidth="1"/>
    <col min="4" max="4" width="17.140625" style="1" customWidth="1"/>
    <col min="5" max="12" width="3.7109375" style="1" customWidth="1"/>
    <col min="13" max="14" width="9.140625" style="1"/>
    <col min="15" max="15" width="12.5703125" style="1" bestFit="1" customWidth="1"/>
    <col min="16" max="16384" width="9.140625" style="1"/>
  </cols>
  <sheetData>
    <row r="1" spans="2:12" ht="15">
      <c r="B1" s="62" t="s">
        <v>29</v>
      </c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2:12" ht="15">
      <c r="B2" s="62" t="s">
        <v>30</v>
      </c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2:12" ht="14.25">
      <c r="B3" s="63" t="s">
        <v>31</v>
      </c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2:12" ht="14.2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12" ht="15.75" customHeight="1">
      <c r="B5" s="108" t="s">
        <v>40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2:12" ht="26.25" customHeight="1">
      <c r="B6" s="39" t="s">
        <v>33</v>
      </c>
      <c r="C6" s="109" t="s">
        <v>78</v>
      </c>
      <c r="D6" s="110"/>
      <c r="E6" s="99" t="s">
        <v>35</v>
      </c>
      <c r="F6" s="100"/>
      <c r="G6" s="100"/>
      <c r="H6" s="101"/>
      <c r="I6" s="102">
        <v>45049</v>
      </c>
      <c r="J6" s="103"/>
      <c r="K6" s="103"/>
      <c r="L6" s="104"/>
    </row>
    <row r="7" spans="2:12" ht="37.5" customHeight="1">
      <c r="B7" s="38" t="s">
        <v>36</v>
      </c>
      <c r="C7" s="97" t="s">
        <v>79</v>
      </c>
      <c r="D7" s="98"/>
      <c r="E7" s="99" t="s">
        <v>41</v>
      </c>
      <c r="F7" s="100"/>
      <c r="G7" s="100"/>
      <c r="H7" s="101"/>
      <c r="I7" s="105" t="s">
        <v>50</v>
      </c>
      <c r="J7" s="106"/>
      <c r="K7" s="106"/>
      <c r="L7" s="107"/>
    </row>
    <row r="8" spans="2:12" ht="12.95" customHeight="1">
      <c r="B8" s="96" t="s">
        <v>115</v>
      </c>
      <c r="C8" s="96"/>
      <c r="D8" s="96"/>
      <c r="E8" s="96"/>
      <c r="F8" s="96"/>
      <c r="G8" s="96"/>
      <c r="H8" s="96"/>
      <c r="I8" s="96"/>
      <c r="J8" s="96"/>
      <c r="K8" s="96"/>
      <c r="L8" s="96"/>
    </row>
    <row r="9" spans="2:12" ht="5.0999999999999996" customHeight="1"/>
    <row r="10" spans="2:12">
      <c r="B10" s="28" t="s">
        <v>3</v>
      </c>
      <c r="C10" s="28" t="s">
        <v>42</v>
      </c>
      <c r="D10" s="28" t="s">
        <v>43</v>
      </c>
      <c r="E10" s="93" t="s">
        <v>44</v>
      </c>
      <c r="F10" s="94"/>
      <c r="G10" s="94"/>
      <c r="H10" s="95"/>
      <c r="I10" s="93" t="s">
        <v>45</v>
      </c>
      <c r="J10" s="94"/>
      <c r="K10" s="94"/>
      <c r="L10" s="95"/>
    </row>
    <row r="11" spans="2:12">
      <c r="B11" s="69" t="s">
        <v>116</v>
      </c>
      <c r="C11" s="70"/>
      <c r="D11" s="70"/>
      <c r="E11" s="70"/>
      <c r="F11" s="70"/>
      <c r="G11" s="70"/>
      <c r="H11" s="70"/>
      <c r="I11" s="70"/>
      <c r="J11" s="70"/>
      <c r="K11" s="70"/>
      <c r="L11" s="71"/>
    </row>
    <row r="12" spans="2:12">
      <c r="B12" s="72"/>
      <c r="C12" s="73"/>
      <c r="D12" s="73"/>
      <c r="E12" s="73"/>
      <c r="F12" s="73"/>
      <c r="G12" s="73"/>
      <c r="H12" s="73"/>
      <c r="I12" s="73"/>
      <c r="J12" s="73"/>
      <c r="K12" s="73"/>
      <c r="L12" s="74"/>
    </row>
    <row r="13" spans="2:12" ht="9" customHeight="1">
      <c r="B13" s="75" t="s">
        <v>15</v>
      </c>
      <c r="C13" s="75" t="s">
        <v>53</v>
      </c>
      <c r="D13" s="77">
        <f>'PLANILHA ORÇAMENTÁRIA'!H12</f>
        <v>3458.87</v>
      </c>
      <c r="E13" s="29"/>
      <c r="F13" s="29"/>
      <c r="G13" s="30"/>
      <c r="H13" s="30"/>
      <c r="I13" s="30"/>
      <c r="J13" s="30"/>
      <c r="K13" s="30"/>
      <c r="L13" s="30"/>
    </row>
    <row r="14" spans="2:12" ht="9" customHeight="1">
      <c r="B14" s="76"/>
      <c r="C14" s="76"/>
      <c r="D14" s="78"/>
      <c r="E14" s="79">
        <v>1</v>
      </c>
      <c r="F14" s="80"/>
      <c r="G14" s="80"/>
      <c r="H14" s="81"/>
      <c r="I14" s="90"/>
      <c r="J14" s="91"/>
      <c r="K14" s="91"/>
      <c r="L14" s="92"/>
    </row>
    <row r="15" spans="2:12" ht="9" customHeight="1">
      <c r="B15" s="75" t="s">
        <v>76</v>
      </c>
      <c r="C15" s="75" t="s">
        <v>20</v>
      </c>
      <c r="D15" s="77">
        <f>'PLANILHA ORÇAMENTÁRIA'!H16</f>
        <v>124029.09999999999</v>
      </c>
      <c r="E15" s="30"/>
      <c r="F15" s="30"/>
      <c r="G15" s="29"/>
      <c r="H15" s="29"/>
      <c r="I15" s="29"/>
      <c r="J15" s="29"/>
      <c r="K15" s="29"/>
      <c r="L15" s="30"/>
    </row>
    <row r="16" spans="2:12" ht="9" customHeight="1">
      <c r="B16" s="76"/>
      <c r="C16" s="76"/>
      <c r="D16" s="78"/>
      <c r="E16" s="79">
        <v>0.4</v>
      </c>
      <c r="F16" s="80"/>
      <c r="G16" s="80"/>
      <c r="H16" s="81"/>
      <c r="I16" s="79">
        <v>0.6</v>
      </c>
      <c r="J16" s="80"/>
      <c r="K16" s="80"/>
      <c r="L16" s="81"/>
    </row>
    <row r="17" spans="2:12" ht="9.9499999999999993" customHeight="1">
      <c r="B17" s="75" t="s">
        <v>77</v>
      </c>
      <c r="C17" s="88" t="s">
        <v>63</v>
      </c>
      <c r="D17" s="77">
        <f>'PLANILHA ORÇAMENTÁRIA'!H20</f>
        <v>5105.3399999999992</v>
      </c>
      <c r="E17" s="29"/>
      <c r="F17" s="29"/>
      <c r="G17" s="29"/>
      <c r="H17" s="29"/>
      <c r="I17" s="30"/>
      <c r="J17" s="30"/>
      <c r="K17" s="30"/>
      <c r="L17" s="30"/>
    </row>
    <row r="18" spans="2:12" ht="9.9499999999999993" customHeight="1">
      <c r="B18" s="76"/>
      <c r="C18" s="89"/>
      <c r="D18" s="78"/>
      <c r="E18" s="79">
        <v>1</v>
      </c>
      <c r="F18" s="80"/>
      <c r="G18" s="80"/>
      <c r="H18" s="81"/>
      <c r="I18" s="79"/>
      <c r="J18" s="80"/>
      <c r="K18" s="80"/>
      <c r="L18" s="81"/>
    </row>
    <row r="19" spans="2:12" ht="9" customHeight="1">
      <c r="B19" s="75" t="s">
        <v>80</v>
      </c>
      <c r="C19" s="75" t="s">
        <v>58</v>
      </c>
      <c r="D19" s="77">
        <f>'PLANILHA ORÇAMENTÁRIA'!H28</f>
        <v>61969.63</v>
      </c>
      <c r="E19" s="30"/>
      <c r="F19" s="30"/>
      <c r="G19" s="30"/>
      <c r="H19" s="29"/>
      <c r="I19" s="29"/>
      <c r="J19" s="29"/>
      <c r="K19" s="29"/>
      <c r="L19" s="30"/>
    </row>
    <row r="20" spans="2:12" ht="9" customHeight="1">
      <c r="B20" s="76"/>
      <c r="C20" s="76"/>
      <c r="D20" s="78"/>
      <c r="E20" s="79">
        <v>0.25</v>
      </c>
      <c r="F20" s="80"/>
      <c r="G20" s="80"/>
      <c r="H20" s="81"/>
      <c r="I20" s="79">
        <v>0.75</v>
      </c>
      <c r="J20" s="80"/>
      <c r="K20" s="80"/>
      <c r="L20" s="81"/>
    </row>
    <row r="21" spans="2:12" ht="9" customHeight="1">
      <c r="B21" s="75" t="s">
        <v>95</v>
      </c>
      <c r="C21" s="75" t="s">
        <v>24</v>
      </c>
      <c r="D21" s="77">
        <f>'PLANILHA ORÇAMENTÁRIA'!H31</f>
        <v>8761.5</v>
      </c>
      <c r="E21" s="30"/>
      <c r="F21" s="30"/>
      <c r="G21" s="30"/>
      <c r="H21" s="30"/>
      <c r="I21" s="30"/>
      <c r="J21" s="30"/>
      <c r="K21" s="29"/>
      <c r="L21" s="29"/>
    </row>
    <row r="22" spans="2:12" ht="9" customHeight="1">
      <c r="B22" s="76"/>
      <c r="C22" s="76"/>
      <c r="D22" s="78"/>
      <c r="E22" s="79"/>
      <c r="F22" s="80"/>
      <c r="G22" s="80"/>
      <c r="H22" s="81"/>
      <c r="I22" s="79">
        <v>1</v>
      </c>
      <c r="J22" s="80"/>
      <c r="K22" s="80"/>
      <c r="L22" s="81"/>
    </row>
    <row r="23" spans="2:12" ht="12" customHeight="1">
      <c r="B23" s="69" t="s">
        <v>75</v>
      </c>
      <c r="C23" s="70"/>
      <c r="D23" s="70"/>
      <c r="E23" s="70"/>
      <c r="F23" s="70"/>
      <c r="G23" s="70"/>
      <c r="H23" s="70"/>
      <c r="I23" s="70"/>
      <c r="J23" s="70"/>
      <c r="K23" s="70"/>
      <c r="L23" s="71"/>
    </row>
    <row r="24" spans="2:12" ht="12" customHeight="1">
      <c r="B24" s="72"/>
      <c r="C24" s="73"/>
      <c r="D24" s="73"/>
      <c r="E24" s="73"/>
      <c r="F24" s="73"/>
      <c r="G24" s="73"/>
      <c r="H24" s="73"/>
      <c r="I24" s="73"/>
      <c r="J24" s="73"/>
      <c r="K24" s="73"/>
      <c r="L24" s="74"/>
    </row>
    <row r="25" spans="2:12" ht="9" customHeight="1">
      <c r="B25" s="75" t="s">
        <v>17</v>
      </c>
      <c r="C25" s="75" t="s">
        <v>53</v>
      </c>
      <c r="D25" s="77">
        <f>'PLANILHA ORÇAMENTÁRIA'!H35</f>
        <v>1952.1299999999999</v>
      </c>
      <c r="E25" s="29"/>
      <c r="F25" s="29"/>
      <c r="G25" s="30"/>
      <c r="H25" s="30"/>
      <c r="I25" s="30"/>
      <c r="J25" s="30"/>
      <c r="K25" s="30"/>
      <c r="L25" s="30"/>
    </row>
    <row r="26" spans="2:12" ht="9" customHeight="1">
      <c r="B26" s="76"/>
      <c r="C26" s="76"/>
      <c r="D26" s="78"/>
      <c r="E26" s="79">
        <v>1</v>
      </c>
      <c r="F26" s="80"/>
      <c r="G26" s="80"/>
      <c r="H26" s="81"/>
      <c r="I26" s="90"/>
      <c r="J26" s="91"/>
      <c r="K26" s="91"/>
      <c r="L26" s="92"/>
    </row>
    <row r="27" spans="2:12" ht="9" customHeight="1">
      <c r="B27" s="75" t="s">
        <v>18</v>
      </c>
      <c r="C27" s="75" t="s">
        <v>20</v>
      </c>
      <c r="D27" s="77">
        <f>'PLANILHA ORÇAMENTÁRIA'!H38</f>
        <v>62483.59</v>
      </c>
      <c r="E27" s="30"/>
      <c r="F27" s="30"/>
      <c r="G27" s="29"/>
      <c r="H27" s="29"/>
      <c r="I27" s="29"/>
      <c r="J27" s="29"/>
      <c r="K27" s="29"/>
      <c r="L27" s="30"/>
    </row>
    <row r="28" spans="2:12" ht="9" customHeight="1">
      <c r="B28" s="76"/>
      <c r="C28" s="76"/>
      <c r="D28" s="78"/>
      <c r="E28" s="79">
        <v>0.4</v>
      </c>
      <c r="F28" s="80"/>
      <c r="G28" s="80"/>
      <c r="H28" s="81"/>
      <c r="I28" s="79">
        <v>0.6</v>
      </c>
      <c r="J28" s="80"/>
      <c r="K28" s="80"/>
      <c r="L28" s="81"/>
    </row>
    <row r="29" spans="2:12" ht="9" customHeight="1">
      <c r="B29" s="75" t="s">
        <v>19</v>
      </c>
      <c r="C29" s="88" t="s">
        <v>63</v>
      </c>
      <c r="D29" s="77">
        <f>'PLANILHA ORÇAMENTÁRIA'!H42</f>
        <v>5188.0999999999995</v>
      </c>
      <c r="E29" s="29"/>
      <c r="F29" s="29"/>
      <c r="G29" s="29"/>
      <c r="H29" s="29"/>
      <c r="I29" s="30"/>
      <c r="J29" s="30"/>
      <c r="K29" s="30"/>
      <c r="L29" s="30"/>
    </row>
    <row r="30" spans="2:12" ht="9" customHeight="1">
      <c r="B30" s="76"/>
      <c r="C30" s="89"/>
      <c r="D30" s="78"/>
      <c r="E30" s="79">
        <v>1</v>
      </c>
      <c r="F30" s="80"/>
      <c r="G30" s="80"/>
      <c r="H30" s="81"/>
      <c r="I30" s="79"/>
      <c r="J30" s="80"/>
      <c r="K30" s="80"/>
      <c r="L30" s="81"/>
    </row>
    <row r="31" spans="2:12" ht="9" customHeight="1">
      <c r="B31" s="75" t="s">
        <v>103</v>
      </c>
      <c r="C31" s="75" t="s">
        <v>58</v>
      </c>
      <c r="D31" s="77">
        <f>'PLANILHA ORÇAMENTÁRIA'!H50</f>
        <v>64506.01</v>
      </c>
      <c r="E31" s="30"/>
      <c r="F31" s="30"/>
      <c r="G31" s="30"/>
      <c r="H31" s="29"/>
      <c r="I31" s="29"/>
      <c r="J31" s="29"/>
      <c r="K31" s="29"/>
      <c r="L31" s="30"/>
    </row>
    <row r="32" spans="2:12" ht="9" customHeight="1">
      <c r="B32" s="76"/>
      <c r="C32" s="76"/>
      <c r="D32" s="78"/>
      <c r="E32" s="79">
        <v>0.25</v>
      </c>
      <c r="F32" s="80"/>
      <c r="G32" s="80"/>
      <c r="H32" s="81"/>
      <c r="I32" s="79">
        <v>0.75</v>
      </c>
      <c r="J32" s="80"/>
      <c r="K32" s="80"/>
      <c r="L32" s="81"/>
    </row>
    <row r="33" spans="2:12" ht="9" customHeight="1">
      <c r="B33" s="75" t="s">
        <v>104</v>
      </c>
      <c r="C33" s="75" t="s">
        <v>24</v>
      </c>
      <c r="D33" s="77">
        <f>'PLANILHA ORÇAMENTÁRIA'!H53</f>
        <v>4209.51</v>
      </c>
      <c r="E33" s="30"/>
      <c r="F33" s="30"/>
      <c r="G33" s="30"/>
      <c r="H33" s="30"/>
      <c r="I33" s="30"/>
      <c r="J33" s="30"/>
      <c r="K33" s="29"/>
      <c r="L33" s="29"/>
    </row>
    <row r="34" spans="2:12" ht="9" customHeight="1">
      <c r="B34" s="76"/>
      <c r="C34" s="76"/>
      <c r="D34" s="78"/>
      <c r="E34" s="79"/>
      <c r="F34" s="80"/>
      <c r="G34" s="80"/>
      <c r="H34" s="81"/>
      <c r="I34" s="79">
        <v>1</v>
      </c>
      <c r="J34" s="80"/>
      <c r="K34" s="80"/>
      <c r="L34" s="81"/>
    </row>
    <row r="35" spans="2:12" ht="9.75" customHeight="1">
      <c r="B35" s="85" t="s">
        <v>4</v>
      </c>
      <c r="C35" s="85"/>
      <c r="D35" s="46">
        <f>SUM(D13:D34)</f>
        <v>341663.78</v>
      </c>
      <c r="E35" s="86"/>
      <c r="F35" s="87"/>
      <c r="G35" s="87"/>
      <c r="H35" s="87"/>
      <c r="I35" s="87"/>
      <c r="J35" s="87"/>
      <c r="K35" s="87"/>
      <c r="L35" s="87"/>
    </row>
    <row r="36" spans="2:12">
      <c r="D36" s="31" t="s">
        <v>46</v>
      </c>
      <c r="E36" s="84">
        <f>E38/$D$35</f>
        <v>0.35686670094207817</v>
      </c>
      <c r="F36" s="84"/>
      <c r="G36" s="84"/>
      <c r="H36" s="84"/>
      <c r="I36" s="84">
        <f>I38/$D$35</f>
        <v>0.64313329905792171</v>
      </c>
      <c r="J36" s="84"/>
      <c r="K36" s="84"/>
      <c r="L36" s="84"/>
    </row>
    <row r="37" spans="2:12">
      <c r="D37" s="31" t="s">
        <v>47</v>
      </c>
      <c r="E37" s="84">
        <f>E36</f>
        <v>0.35686670094207817</v>
      </c>
      <c r="F37" s="83"/>
      <c r="G37" s="83"/>
      <c r="H37" s="83"/>
      <c r="I37" s="84">
        <f>E37+I36</f>
        <v>0.99999999999999989</v>
      </c>
      <c r="J37" s="83"/>
      <c r="K37" s="83"/>
      <c r="L37" s="83"/>
    </row>
    <row r="38" spans="2:12">
      <c r="D38" s="31" t="s">
        <v>48</v>
      </c>
      <c r="E38" s="82">
        <f>D13*E14+D15*E16+D17*E18+D19*E20+D21*E22+D25*E26+D27*E28+D29*E30+D31*E32+D33*E34</f>
        <v>121928.42600000001</v>
      </c>
      <c r="F38" s="83"/>
      <c r="G38" s="83"/>
      <c r="H38" s="83"/>
      <c r="I38" s="82">
        <f>D13*I14+D15*I16+D17*I18+D19*I20+D21*I22+D25*I26+D27*I28+D29*I30+D31*I32+D33*I34</f>
        <v>219735.35399999999</v>
      </c>
      <c r="J38" s="83"/>
      <c r="K38" s="83"/>
      <c r="L38" s="83"/>
    </row>
    <row r="39" spans="2:12">
      <c r="D39" s="31" t="s">
        <v>49</v>
      </c>
      <c r="E39" s="82">
        <f>E38</f>
        <v>121928.42600000001</v>
      </c>
      <c r="F39" s="83"/>
      <c r="G39" s="83"/>
      <c r="H39" s="83"/>
      <c r="I39" s="82">
        <f>E39+I38</f>
        <v>341663.78</v>
      </c>
      <c r="J39" s="83"/>
      <c r="K39" s="83"/>
      <c r="L39" s="83"/>
    </row>
  </sheetData>
  <mergeCells count="75">
    <mergeCell ref="B1:L1"/>
    <mergeCell ref="B2:L2"/>
    <mergeCell ref="B3:L3"/>
    <mergeCell ref="B5:L5"/>
    <mergeCell ref="C6:D6"/>
    <mergeCell ref="C7:D7"/>
    <mergeCell ref="E6:H6"/>
    <mergeCell ref="E7:H7"/>
    <mergeCell ref="I6:L6"/>
    <mergeCell ref="I7:L7"/>
    <mergeCell ref="E10:H10"/>
    <mergeCell ref="I10:L10"/>
    <mergeCell ref="B8:L8"/>
    <mergeCell ref="B15:B16"/>
    <mergeCell ref="C15:C16"/>
    <mergeCell ref="D15:D16"/>
    <mergeCell ref="E16:H16"/>
    <mergeCell ref="I16:L16"/>
    <mergeCell ref="B13:B14"/>
    <mergeCell ref="C13:C14"/>
    <mergeCell ref="D13:D14"/>
    <mergeCell ref="E14:H14"/>
    <mergeCell ref="I14:L14"/>
    <mergeCell ref="B11:L12"/>
    <mergeCell ref="B19:B20"/>
    <mergeCell ref="C19:C20"/>
    <mergeCell ref="D19:D20"/>
    <mergeCell ref="E20:H20"/>
    <mergeCell ref="I20:L20"/>
    <mergeCell ref="B17:B18"/>
    <mergeCell ref="C17:C18"/>
    <mergeCell ref="D17:D18"/>
    <mergeCell ref="E18:H18"/>
    <mergeCell ref="I18:L18"/>
    <mergeCell ref="B27:B28"/>
    <mergeCell ref="C27:C28"/>
    <mergeCell ref="D27:D28"/>
    <mergeCell ref="E28:H28"/>
    <mergeCell ref="I28:L28"/>
    <mergeCell ref="B25:B26"/>
    <mergeCell ref="C25:C26"/>
    <mergeCell ref="D25:D26"/>
    <mergeCell ref="E26:H26"/>
    <mergeCell ref="I26:L26"/>
    <mergeCell ref="B31:B32"/>
    <mergeCell ref="C31:C32"/>
    <mergeCell ref="D31:D32"/>
    <mergeCell ref="E32:H32"/>
    <mergeCell ref="I32:L32"/>
    <mergeCell ref="B29:B30"/>
    <mergeCell ref="C29:C30"/>
    <mergeCell ref="D29:D30"/>
    <mergeCell ref="E30:H30"/>
    <mergeCell ref="I30:L30"/>
    <mergeCell ref="B35:C35"/>
    <mergeCell ref="E35:L35"/>
    <mergeCell ref="E36:H36"/>
    <mergeCell ref="I36:L36"/>
    <mergeCell ref="B33:B34"/>
    <mergeCell ref="C33:C34"/>
    <mergeCell ref="D33:D34"/>
    <mergeCell ref="E34:H34"/>
    <mergeCell ref="I34:L34"/>
    <mergeCell ref="E39:H39"/>
    <mergeCell ref="I39:L39"/>
    <mergeCell ref="E37:H37"/>
    <mergeCell ref="I37:L37"/>
    <mergeCell ref="E38:H38"/>
    <mergeCell ref="I38:L38"/>
    <mergeCell ref="B23:L24"/>
    <mergeCell ref="B21:B22"/>
    <mergeCell ref="C21:C22"/>
    <mergeCell ref="D21:D22"/>
    <mergeCell ref="E22:H22"/>
    <mergeCell ref="I22:L22"/>
  </mergeCells>
  <pageMargins left="0.511811024" right="0.511811024" top="0.78740157499999996" bottom="0.78740157499999996" header="0.31496062000000002" footer="0.31496062000000002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ORÇAMENTÁRIA</vt:lpstr>
      <vt:lpstr>CRONOGRAMA FÍSICO-FINANCEIRO</vt:lpstr>
      <vt:lpstr>'CRONOGRAMA FÍSICO-FINANCEIRO'!Area_de_impressao</vt:lpstr>
      <vt:lpstr>'PLANILHA ORÇAMENTÁRIA'!Area_de_impressao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Licitacao02</cp:lastModifiedBy>
  <cp:lastPrinted>2023-05-02T16:41:47Z</cp:lastPrinted>
  <dcterms:created xsi:type="dcterms:W3CDTF">2022-09-26T17:46:13Z</dcterms:created>
  <dcterms:modified xsi:type="dcterms:W3CDTF">2023-08-08T19:40:09Z</dcterms:modified>
</cp:coreProperties>
</file>