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5240" windowHeight="7215" tabRatio="734" activeTab="0"/>
  </bookViews>
  <sheets>
    <sheet name="ORÇAMENTO" sheetId="1" r:id="rId1"/>
    <sheet name="BALAUSTRES" sheetId="2" r:id="rId2"/>
    <sheet name="POSTE PARIS" sheetId="3" r:id="rId3"/>
    <sheet name="CRONOGRAMA" sheetId="4" r:id="rId4"/>
  </sheets>
  <definedNames>
    <definedName name="_xlnm.Print_Area" localSheetId="3">'CRONOGRAMA'!$A$1:$Q$38</definedName>
    <definedName name="_xlnm.Print_Area" localSheetId="0">'ORÇAMENTO'!$A$1:$K$60</definedName>
    <definedName name="_xlnm.Print_Area" localSheetId="2">'POSTE PARIS'!$A$1:$H$59</definedName>
    <definedName name="_xlnm.Print_Titles" localSheetId="0">'ORÇAMENTO'!$1:$10</definedName>
  </definedNames>
  <calcPr fullCalcOnLoad="1" fullPrecision="0"/>
</workbook>
</file>

<file path=xl/comments1.xml><?xml version="1.0" encoding="utf-8"?>
<comments xmlns="http://schemas.openxmlformats.org/spreadsheetml/2006/main">
  <authors>
    <author>Engenharia02</author>
  </authors>
  <commentList>
    <comment ref="D14" authorId="0">
      <text>
        <r>
          <rPr>
            <b/>
            <sz val="9"/>
            <rFont val="Segoe UI"/>
            <family val="2"/>
          </rPr>
          <t>Engenharia02:</t>
        </r>
        <r>
          <rPr>
            <sz val="9"/>
            <rFont val="Segoe UI"/>
            <family val="2"/>
          </rPr>
          <t xml:space="preserve">
Retirada: mosaico português existente (700,00 </t>
        </r>
        <r>
          <rPr>
            <b/>
            <sz val="9"/>
            <rFont val="Segoe UI"/>
            <family val="2"/>
          </rPr>
          <t>m²</t>
        </r>
        <r>
          <rPr>
            <sz val="9"/>
            <rFont val="Segoe UI"/>
            <family val="2"/>
          </rPr>
          <t>).</t>
        </r>
      </text>
    </comment>
    <comment ref="D17" authorId="0">
      <text>
        <r>
          <rPr>
            <b/>
            <sz val="9"/>
            <rFont val="Segoe UI"/>
            <family val="2"/>
          </rPr>
          <t>Engenharia02:</t>
        </r>
        <r>
          <rPr>
            <sz val="9"/>
            <rFont val="Segoe UI"/>
            <family val="2"/>
          </rPr>
          <t xml:space="preserve">
alvenaria + concreto armado + piso mosaico portugues existente</t>
        </r>
      </text>
    </comment>
    <comment ref="D25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Mureta a construir com largura de 0,40 m
*Multiplicado por 2 para chegar na largura 
requerida</t>
        </r>
      </text>
    </comment>
    <comment ref="D26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Face lateral 45* 0,45 (altura)
Face superior 45*0,40 (largura)</t>
        </r>
      </text>
    </comment>
    <comment ref="D27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Face lateral 45* 0,45 (altura)
Face superior 45*0,40 (largura)</t>
        </r>
      </text>
    </comment>
    <comment ref="D28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Face lateral 45* 0,45 (altura)
Face superior 45*0,40 (largura)</t>
        </r>
      </text>
    </comment>
    <comment ref="D37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Pintura da mureta existente + mureta a construir
Perimetro 226,54
face lateral 226,54*0,45(altura)
face superior 
226,54*0,40(largura)</t>
        </r>
      </text>
    </comment>
    <comment ref="D38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Pintura da mureta existente + mureta a construir
Perimetro 226,54
face lateral 226,54*0,45(altura)
face superior 
226,54*0,40(largura)
</t>
        </r>
      </text>
    </comment>
    <comment ref="D15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Demolição da mureta ponto de táxi de 7,00 m lineares + Demolição da mureta de 45,00 m lineares
</t>
        </r>
      </text>
    </comment>
    <comment ref="D16" authorId="0">
      <text>
        <r>
          <rPr>
            <b/>
            <sz val="9"/>
            <rFont val="Segoe UI"/>
            <family val="0"/>
          </rPr>
          <t>Engenharia02:</t>
        </r>
        <r>
          <rPr>
            <sz val="9"/>
            <rFont val="Segoe UI"/>
            <family val="0"/>
          </rPr>
          <t xml:space="preserve">
Demolição "marquise ponto de táxi"
dois pilares + viga +laje</t>
        </r>
      </text>
    </comment>
  </commentList>
</comments>
</file>

<file path=xl/sharedStrings.xml><?xml version="1.0" encoding="utf-8"?>
<sst xmlns="http://schemas.openxmlformats.org/spreadsheetml/2006/main" count="328" uniqueCount="202">
  <si>
    <t>B.D.I.:</t>
  </si>
  <si>
    <t>ETAPAS CONSTRUTIVAS</t>
  </si>
  <si>
    <t>TOTAL DO ITEM</t>
  </si>
  <si>
    <t>MÊS 1</t>
  </si>
  <si>
    <t>MÊS 2</t>
  </si>
  <si>
    <t>MÊS 3</t>
  </si>
  <si>
    <t xml:space="preserve"> TOTAL</t>
  </si>
  <si>
    <t xml:space="preserve">% DO MÊS </t>
  </si>
  <si>
    <t>% ACUMULADA</t>
  </si>
  <si>
    <t xml:space="preserve">TOTAL DO MÊS </t>
  </si>
  <si>
    <t>TOTAL ACUMULADO</t>
  </si>
  <si>
    <t>ITEM</t>
  </si>
  <si>
    <t>DESCRIÇÃO DOS SERVIÇOS</t>
  </si>
  <si>
    <t>UNID.</t>
  </si>
  <si>
    <t>QUANT.</t>
  </si>
  <si>
    <t>SERVIÇOS PRELIMINARES</t>
  </si>
  <si>
    <t>Subtotal item 1</t>
  </si>
  <si>
    <t>PREFEITURA MUNICIPAL DE ITATINGA</t>
  </si>
  <si>
    <t>Rua Nove de Julho nº 304 – Centro – CEP. 18690-000</t>
  </si>
  <si>
    <t>CNPJ nº 46.634.127/0001-63</t>
  </si>
  <si>
    <t>E-mail: engenharia@pmitatinga.sp.gov.br</t>
  </si>
  <si>
    <t>Site: www.pmitatinga.sp.gov.br</t>
  </si>
  <si>
    <t>- ESTADO DE SÃO PAULO -</t>
  </si>
  <si>
    <t>FONTE</t>
  </si>
  <si>
    <t>1.1</t>
  </si>
  <si>
    <t>CÓDIGO</t>
  </si>
  <si>
    <t>PREÇO UNIT. MAT. (R$)</t>
  </si>
  <si>
    <t>PREÇO UNIT. M.O. (R$)</t>
  </si>
  <si>
    <t>PREÇO UNIT.  TOTAL (R$)</t>
  </si>
  <si>
    <t>TOTAL</t>
  </si>
  <si>
    <r>
      <t>Observação:</t>
    </r>
    <r>
      <rPr>
        <b/>
        <sz val="10"/>
        <rFont val="Times New Roman"/>
        <family val="1"/>
      </rPr>
      <t xml:space="preserve"> MAT. (material);  M.O. (mão de obra)</t>
    </r>
  </si>
  <si>
    <t>Regime de Execução: Empreitada Global</t>
  </si>
  <si>
    <t xml:space="preserve">TOTAL </t>
  </si>
  <si>
    <t>PREÇO TOTAL (R$) C/BDI</t>
  </si>
  <si>
    <t xml:space="preserve">TOTAL GERAL </t>
  </si>
  <si>
    <t>______________________________________</t>
  </si>
  <si>
    <t>Subtotal item 2</t>
  </si>
  <si>
    <t>m</t>
  </si>
  <si>
    <t>Obra: Revitalização da Praça Major Bello</t>
  </si>
  <si>
    <t>Local: Praça Major Bello, S/Nº, Centro</t>
  </si>
  <si>
    <t>Placa de identificação para obra</t>
  </si>
  <si>
    <t>PISO</t>
  </si>
  <si>
    <t>54.06.040</t>
  </si>
  <si>
    <t>Guia pré-moldada reta tipo PMSP 100 - fck 25 MPa</t>
  </si>
  <si>
    <t>54.07.040</t>
  </si>
  <si>
    <t>Passeio em mosaico português</t>
  </si>
  <si>
    <t>CDHU</t>
  </si>
  <si>
    <t>MEMÓRIA DE CÁLCULO</t>
  </si>
  <si>
    <t>2m*1,5m</t>
  </si>
  <si>
    <t>m²</t>
  </si>
  <si>
    <t>1.2</t>
  </si>
  <si>
    <t>Subtotal item 3</t>
  </si>
  <si>
    <t>m³</t>
  </si>
  <si>
    <t>Subtotal item 4</t>
  </si>
  <si>
    <t>Remoção de entulho separado de obra com caçamba metálica - terra,
alvenaria, concreto, argamassa, madeira, papel, plástico ou metal</t>
  </si>
  <si>
    <t>05.07.040</t>
  </si>
  <si>
    <t>BDI: 25%</t>
  </si>
  <si>
    <t>1.4</t>
  </si>
  <si>
    <t>1.5</t>
  </si>
  <si>
    <t>04.40.050</t>
  </si>
  <si>
    <t>Retirada manual de paralelepípedo ou lajota de concreto, inclusive limpeza,
carregamento, transporte até 1 quilômetro e descarregamento</t>
  </si>
  <si>
    <t>Prazo: 90 dias</t>
  </si>
  <si>
    <t>% (em relação ao valor total)</t>
  </si>
  <si>
    <t>02.03.110</t>
  </si>
  <si>
    <t>Tapume móvel para fechamento de áreas</t>
  </si>
  <si>
    <t>3.1</t>
  </si>
  <si>
    <t>3.2</t>
  </si>
  <si>
    <t>3.3</t>
  </si>
  <si>
    <t>4.1</t>
  </si>
  <si>
    <t>02.08.020</t>
  </si>
  <si>
    <t>Subtotal item 5</t>
  </si>
  <si>
    <t>5.1</t>
  </si>
  <si>
    <t>5.2</t>
  </si>
  <si>
    <t xml:space="preserve">un </t>
  </si>
  <si>
    <t>GUIAS E SARJETAS</t>
  </si>
  <si>
    <t>03.02.040</t>
  </si>
  <si>
    <t>Demolição manual de concreto armado</t>
  </si>
  <si>
    <t>03.01.040</t>
  </si>
  <si>
    <t>14.10.121</t>
  </si>
  <si>
    <t>Alvenaria de bloco de concreto de vedação de 19 x 19 x 39 cm ‐ classe C</t>
  </si>
  <si>
    <t>3.4</t>
  </si>
  <si>
    <t>3.5</t>
  </si>
  <si>
    <t>17.02.020</t>
  </si>
  <si>
    <t>Chapisco</t>
  </si>
  <si>
    <t>17.02.120</t>
  </si>
  <si>
    <t>Emboço comum</t>
  </si>
  <si>
    <t>17.02.220</t>
  </si>
  <si>
    <t>Reboco</t>
  </si>
  <si>
    <t>PINTURA</t>
  </si>
  <si>
    <t>33.02.080</t>
  </si>
  <si>
    <t>Massa corrida à base de resina acrílica</t>
  </si>
  <si>
    <t>33.10.030</t>
  </si>
  <si>
    <t>Tinta acrílica antimofo em massa, inclusive preparo</t>
  </si>
  <si>
    <t>ÉLETRICA</t>
  </si>
  <si>
    <t>SINAPI</t>
  </si>
  <si>
    <t>ENTRADA DE ENERGIA ELÉTRICA, AÉREA, BIFÁSICA, COM CAIXA DE SOBREPOR ABO DE 16 MM2 E DISJUNTOR DIN 50A (NÃO INCLUSO O POSTE DE CONCRETO)</t>
  </si>
  <si>
    <t>Poste de concreto circular, 200 kg, H = 7,00 m</t>
  </si>
  <si>
    <t>68.01.600</t>
  </si>
  <si>
    <t>Site: www.itatinga.sp.gov.br</t>
  </si>
  <si>
    <t>E-mail: engenharia@itatinga.sp.gov.br</t>
  </si>
  <si>
    <t xml:space="preserve">Observação: Cotação de material </t>
  </si>
  <si>
    <t>Cotação: Mercado</t>
  </si>
  <si>
    <t>EMPRESA</t>
  </si>
  <si>
    <t>CNPJ</t>
  </si>
  <si>
    <t>QTDE</t>
  </si>
  <si>
    <t>UNIDADE</t>
  </si>
  <si>
    <t>PREÇO UNITÁRIO R$</t>
  </si>
  <si>
    <t>PREÇO TOTAL R$</t>
  </si>
  <si>
    <t xml:space="preserve">MÉDIA TOTAL </t>
  </si>
  <si>
    <t xml:space="preserve">MÃO DE OBRA </t>
  </si>
  <si>
    <t>INSUMO</t>
  </si>
  <si>
    <t>B.01.000.010111</t>
  </si>
  <si>
    <t>Carpinteiro</t>
  </si>
  <si>
    <t>h</t>
  </si>
  <si>
    <t>B.01.000.010112</t>
  </si>
  <si>
    <t>Ajudante de Carpinteiro</t>
  </si>
  <si>
    <t>B.01.000.010115</t>
  </si>
  <si>
    <t>Eletricista</t>
  </si>
  <si>
    <t>B.01.000.010116</t>
  </si>
  <si>
    <t>Ajudante de Eletricista</t>
  </si>
  <si>
    <t>B.01.000.010139</t>
  </si>
  <si>
    <t>Pedreiro</t>
  </si>
  <si>
    <t>B.01.000.010146</t>
  </si>
  <si>
    <t>Servente</t>
  </si>
  <si>
    <t xml:space="preserve">TOTAL MÃO DE OBRA </t>
  </si>
  <si>
    <t xml:space="preserve">MATERIAL </t>
  </si>
  <si>
    <t>B.04.000.020504</t>
  </si>
  <si>
    <t>Areia grossa</t>
  </si>
  <si>
    <t>B.02.000.020508</t>
  </si>
  <si>
    <t>Cimento CPII-E-32 (sacos de 50 kg)</t>
  </si>
  <si>
    <t>kg</t>
  </si>
  <si>
    <t>B.05.000.020514</t>
  </si>
  <si>
    <t>Pedra britada 2</t>
  </si>
  <si>
    <t xml:space="preserve">2.10.20 </t>
  </si>
  <si>
    <t>FDE</t>
  </si>
  <si>
    <t xml:space="preserve">Tabua 30X2,5CM G1-C2 </t>
  </si>
  <si>
    <t>2.10.25</t>
  </si>
  <si>
    <t>Painel de madeira compensada resinada e = 10 mm G1-C8</t>
  </si>
  <si>
    <t>P.08.000.043025</t>
  </si>
  <si>
    <t>Cabo de cobre flexível de 2,5 mm², isolamento 750V ‐ isolação PVC 70°C</t>
  </si>
  <si>
    <t>P.07.000.045075</t>
  </si>
  <si>
    <t>Caixa blindada de aluminio fundido 200X200mm</t>
  </si>
  <si>
    <t>P.07.000.045154</t>
  </si>
  <si>
    <t xml:space="preserve">Condulete de aluminio 4"X2" "C" D=3/4" </t>
  </si>
  <si>
    <t>P.29.000.090337</t>
  </si>
  <si>
    <t>Relé fotoelétrico 50/60Hz 110/220V, com suporte 1200VA</t>
  </si>
  <si>
    <t>E.03.000.026513</t>
  </si>
  <si>
    <t>Chumbador Fischer Bolt diâmetro = 1/2´ e comprimento = 4´</t>
  </si>
  <si>
    <t>-</t>
  </si>
  <si>
    <t>MERCADO</t>
  </si>
  <si>
    <t xml:space="preserve">TOTAL MATERIAL </t>
  </si>
  <si>
    <t>M.O - R$</t>
  </si>
  <si>
    <t>L.S 97,78% (CDHU 188 - DESONERADO)</t>
  </si>
  <si>
    <t>TOTAL MÃO DE OBRA</t>
  </si>
  <si>
    <t>TOTAL MATERIAL</t>
  </si>
  <si>
    <t>____________________________________</t>
  </si>
  <si>
    <t>COMPOSIÇÃO</t>
  </si>
  <si>
    <t>Poste em ferro fundido de 3,00 m modelo Paris com 5 luzes</t>
  </si>
  <si>
    <t>COTAÇÃO DE MATERIAL:  Poste em ferro fundido de 3,00 m modelo Paris com 5 luzes</t>
  </si>
  <si>
    <t>FUNDICAO SILVA TRES RIOS LTDA ME</t>
  </si>
  <si>
    <t>31.036.734/0001-54</t>
  </si>
  <si>
    <t>33.497.110/0001-60</t>
  </si>
  <si>
    <t>PRONTO ARTES LTDA</t>
  </si>
  <si>
    <t>USINAGEM AMERICANA LTDA</t>
  </si>
  <si>
    <t>00.126.746/0001- 46</t>
  </si>
  <si>
    <t>EDSON DIOGO DE OLIVEIRA RIBEIRO</t>
  </si>
  <si>
    <t>32.066.922/0001-98</t>
  </si>
  <si>
    <t>GERSON CLARO ME</t>
  </si>
  <si>
    <t>42.293.594/0001-16</t>
  </si>
  <si>
    <t>COTAÇÃO DE MATERIAL:  Balaustres em concreto</t>
  </si>
  <si>
    <t>1.6</t>
  </si>
  <si>
    <t>1.3</t>
  </si>
  <si>
    <t>MURETAS</t>
  </si>
  <si>
    <t>6.1</t>
  </si>
  <si>
    <t>6.2</t>
  </si>
  <si>
    <t>6.3</t>
  </si>
  <si>
    <t>Subtotal item 6</t>
  </si>
  <si>
    <t>Fonte: Boletim CDHU nº 188; SINAPI 02/2023</t>
  </si>
  <si>
    <t>J.A JUNIOR ALBERTINI MOLDURAS DE CIMENTO</t>
  </si>
  <si>
    <t>50.048.978/0001-00</t>
  </si>
  <si>
    <t>OBSERVAÇÕES:</t>
  </si>
  <si>
    <t>BOLETIM CDHU 188 - ENCARGOS SOCIAIS DESONERADOS (LS = 97,78%) - DATA/BASE: NOVEMBRO/2022.</t>
  </si>
  <si>
    <t>(*) FDE - LS: 120,87% - DATA/BASE: JANEIRO/2023</t>
  </si>
  <si>
    <t>(**) SINAPI 02/2023 - ENCARGOS SOCIAIS DESONERADOS: 85,56% (HORA); 47,57% (MÊS).</t>
  </si>
  <si>
    <t>Parcelas de maior relevância ou de valor significativo:</t>
  </si>
  <si>
    <t>COTAÇÃO DE MATERIAL - Referente ao item 3.5</t>
  </si>
  <si>
    <t>COTAÇÃO DE MATERIAL - Referente ao item 6.3</t>
  </si>
  <si>
    <t>COMPOSIÇÃO DE CUSTO UNITÁRIO DO ITEM 6.3</t>
  </si>
  <si>
    <t>Composição: Poste em ferro fundido de 3,00 m modelo Paris com 5 luzes</t>
  </si>
  <si>
    <t>TOTAL ITEM 6.3</t>
  </si>
  <si>
    <t>Bianca Oliveira da Silva</t>
  </si>
  <si>
    <t>CREA nº 5070438158-SP</t>
  </si>
  <si>
    <t xml:space="preserve">Engenheira Civil </t>
  </si>
  <si>
    <t>2.1</t>
  </si>
  <si>
    <t>ok</t>
  </si>
  <si>
    <t>olk</t>
  </si>
  <si>
    <t>Demolição manual de alvenaria de elevação ou elemento vazado, incluindo revestimento</t>
  </si>
  <si>
    <t>Fonte: Boletim  CDHU nº - 188 (DESONERADO - 11/2022),  FDE (01/2023), SINAPI (DESONERADO - 02/2023)</t>
  </si>
  <si>
    <t xml:space="preserve">Balaústres em concreto </t>
  </si>
  <si>
    <t>Itatinga, 24 de março de 2023.</t>
  </si>
  <si>
    <r>
      <rPr>
        <b/>
        <sz val="9"/>
        <rFont val="Arial"/>
        <family val="2"/>
      </rPr>
      <t>2.4</t>
    </r>
    <r>
      <rPr>
        <sz val="9"/>
        <rFont val="Arial"/>
        <family val="2"/>
      </rPr>
      <t xml:space="preserve"> - Passeio em mosaico português (</t>
    </r>
    <r>
      <rPr>
        <b/>
        <sz val="9"/>
        <rFont val="Arial"/>
        <family val="2"/>
      </rPr>
      <t>parcela de maior relevância</t>
    </r>
    <r>
      <rPr>
        <sz val="9"/>
        <rFont val="Arial"/>
        <family val="2"/>
      </rPr>
      <t xml:space="preserve"> - serviço essencial para caracterização do objeto);</t>
    </r>
  </si>
  <si>
    <r>
      <rPr>
        <b/>
        <sz val="9"/>
        <rFont val="Arial"/>
        <family val="2"/>
      </rPr>
      <t>6.3</t>
    </r>
    <r>
      <rPr>
        <sz val="9"/>
        <rFont val="Arial"/>
        <family val="2"/>
      </rPr>
      <t xml:space="preserve"> - Poste em ferro fundido de 3,00 m modelo Paris com 5 luzes (</t>
    </r>
    <r>
      <rPr>
        <b/>
        <sz val="9"/>
        <rFont val="Arial"/>
        <family val="2"/>
      </rPr>
      <t>valor percentual significativo - 28,35%</t>
    </r>
    <r>
      <rPr>
        <sz val="9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</si>
</sst>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0.0%"/>
    <numFmt numFmtId="166" formatCode="_(* #,##0_);_(* \(#,##0\);_(* \-??_);_(@_)"/>
    <numFmt numFmtId="167" formatCode="0.0"/>
    <numFmt numFmtId="168" formatCode="#,##0.000_ ;[Red]\-#,##0.000\ "/>
    <numFmt numFmtId="169" formatCode="&quot;R$&quot;#,##0.00"/>
    <numFmt numFmtId="170" formatCode="00"/>
    <numFmt numFmtId="171" formatCode="_-&quot;R$&quot;\ * #,##0.000000000000_-;\-&quot;R$&quot;\ * #,##0.000000000000_-;_-&quot;R$&quot;\ * &quot;-&quot;??_-;_-@_-"/>
    <numFmt numFmtId="172" formatCode="#,##0.0000000_ ;[Red]\-#,##0.0000000\ "/>
    <numFmt numFmtId="173" formatCode="0.0000000%"/>
    <numFmt numFmtId="174" formatCode="&quot;R$&quot;\ #,##0.00000000;[Red]\-&quot;R$&quot;\ #,##0.00000000"/>
    <numFmt numFmtId="175" formatCode="_(&quot;R$&quot;* #,##0.00_);_(&quot;R$&quot;* \(#,##0.00\);_(&quot;R$&quot;* &quot;-&quot;??_);_(@_)"/>
    <numFmt numFmtId="176" formatCode="_-[$R$-416]\ * #,##0.00_-;\-[$R$-416]\ * #,##0.00_-;_-[$R$-416]\ * &quot;-&quot;??_-;_-@_-"/>
    <numFmt numFmtId="177" formatCode="[$R$-416]\ #,##0.00;[Red][$R$-416]\ #,##0.00"/>
    <numFmt numFmtId="178" formatCode="&quot;R$&quot;\ #,##0.00"/>
    <numFmt numFmtId="179" formatCode="[$-416]dddd\,\ d&quot; de &quot;mmmm&quot; de &quot;yyyy"/>
    <numFmt numFmtId="180" formatCode="[$BRL]\ #,##0.00;\-[$BRL]\ #,##0.00"/>
  </numFmts>
  <fonts count="8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3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0"/>
      <color theme="0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1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0" fontId="0" fillId="0" borderId="0" xfId="0" applyNumberFormat="1" applyFont="1" applyAlignment="1">
      <alignment vertical="center" wrapText="1"/>
    </xf>
    <xf numFmtId="4" fontId="71" fillId="0" borderId="0" xfId="0" applyNumberFormat="1" applyFont="1" applyAlignment="1">
      <alignment horizontal="center" vertical="center"/>
    </xf>
    <xf numFmtId="4" fontId="7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67" fontId="0" fillId="35" borderId="12" xfId="0" applyNumberFormat="1" applyFont="1" applyFill="1" applyBorder="1" applyAlignment="1">
      <alignment horizontal="center" vertical="center"/>
    </xf>
    <xf numFmtId="167" fontId="0" fillId="35" borderId="13" xfId="0" applyNumberFormat="1" applyFont="1" applyFill="1" applyBorder="1" applyAlignment="1">
      <alignment horizontal="left" vertical="center"/>
    </xf>
    <xf numFmtId="10" fontId="0" fillId="0" borderId="14" xfId="64" applyNumberFormat="1" applyFont="1" applyFill="1" applyBorder="1" applyAlignment="1" applyProtection="1">
      <alignment horizontal="center" vertical="center"/>
      <protection/>
    </xf>
    <xf numFmtId="43" fontId="0" fillId="35" borderId="15" xfId="64" applyFont="1" applyFill="1" applyBorder="1" applyAlignment="1" applyProtection="1">
      <alignment horizontal="right" vertical="center"/>
      <protection/>
    </xf>
    <xf numFmtId="10" fontId="0" fillId="0" borderId="14" xfId="64" applyNumberFormat="1" applyFont="1" applyFill="1" applyBorder="1" applyAlignment="1" applyProtection="1">
      <alignment vertical="center"/>
      <protection/>
    </xf>
    <xf numFmtId="0" fontId="0" fillId="3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74" fillId="0" borderId="0" xfId="0" applyNumberFormat="1" applyFont="1" applyAlignment="1">
      <alignment horizontal="center" vertical="center"/>
    </xf>
    <xf numFmtId="10" fontId="0" fillId="35" borderId="14" xfId="64" applyNumberFormat="1" applyFont="1" applyFill="1" applyBorder="1" applyAlignment="1" applyProtection="1">
      <alignment horizontal="center" vertical="center"/>
      <protection/>
    </xf>
    <xf numFmtId="166" fontId="0" fillId="0" borderId="0" xfId="64" applyNumberFormat="1" applyFont="1" applyFill="1" applyBorder="1" applyAlignment="1" applyProtection="1">
      <alignment vertical="center"/>
      <protection/>
    </xf>
    <xf numFmtId="10" fontId="0" fillId="0" borderId="0" xfId="0" applyNumberFormat="1" applyFont="1" applyBorder="1" applyAlignment="1">
      <alignment vertical="center" wrapText="1"/>
    </xf>
    <xf numFmtId="10" fontId="0" fillId="36" borderId="14" xfId="64" applyNumberFormat="1" applyFont="1" applyFill="1" applyBorder="1" applyAlignment="1" applyProtection="1">
      <alignment horizontal="center" vertical="center"/>
      <protection/>
    </xf>
    <xf numFmtId="10" fontId="0" fillId="36" borderId="14" xfId="64" applyNumberFormat="1" applyFont="1" applyFill="1" applyBorder="1" applyAlignment="1" applyProtection="1">
      <alignment vertical="center"/>
      <protection/>
    </xf>
    <xf numFmtId="164" fontId="0" fillId="0" borderId="14" xfId="64" applyNumberFormat="1" applyFont="1" applyFill="1" applyBorder="1" applyAlignment="1" applyProtection="1">
      <alignment horizontal="center" vertical="center"/>
      <protection/>
    </xf>
    <xf numFmtId="10" fontId="0" fillId="35" borderId="14" xfId="64" applyNumberFormat="1" applyFont="1" applyFill="1" applyBorder="1" applyAlignment="1" applyProtection="1">
      <alignment vertical="center"/>
      <protection/>
    </xf>
    <xf numFmtId="166" fontId="0" fillId="33" borderId="14" xfId="64" applyNumberFormat="1" applyFont="1" applyFill="1" applyBorder="1" applyAlignment="1" applyProtection="1">
      <alignment horizontal="center" vertical="center"/>
      <protection/>
    </xf>
    <xf numFmtId="166" fontId="0" fillId="0" borderId="14" xfId="64" applyNumberFormat="1" applyFont="1" applyFill="1" applyBorder="1" applyAlignment="1" applyProtection="1">
      <alignment horizontal="center" vertical="center"/>
      <protection/>
    </xf>
    <xf numFmtId="166" fontId="0" fillId="37" borderId="14" xfId="64" applyNumberFormat="1" applyFont="1" applyFill="1" applyBorder="1" applyAlignment="1" applyProtection="1">
      <alignment horizontal="center" vertical="center"/>
      <protection/>
    </xf>
    <xf numFmtId="168" fontId="0" fillId="0" borderId="14" xfId="64" applyNumberFormat="1" applyFont="1" applyFill="1" applyBorder="1" applyAlignment="1" applyProtection="1">
      <alignment horizontal="center" vertical="center"/>
      <protection/>
    </xf>
    <xf numFmtId="164" fontId="0" fillId="36" borderId="14" xfId="64" applyNumberFormat="1" applyFont="1" applyFill="1" applyBorder="1" applyAlignment="1" applyProtection="1">
      <alignment vertical="center"/>
      <protection/>
    </xf>
    <xf numFmtId="164" fontId="0" fillId="35" borderId="14" xfId="64" applyNumberFormat="1" applyFont="1" applyFill="1" applyBorder="1" applyAlignment="1" applyProtection="1">
      <alignment vertical="center"/>
      <protection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8" fontId="0" fillId="35" borderId="15" xfId="64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0" xfId="0" applyNumberFormat="1" applyFont="1" applyAlignment="1">
      <alignment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8" fontId="0" fillId="0" borderId="14" xfId="64" applyNumberFormat="1" applyFont="1" applyFill="1" applyBorder="1" applyAlignment="1" applyProtection="1">
      <alignment vertical="center"/>
      <protection/>
    </xf>
    <xf numFmtId="8" fontId="0" fillId="0" borderId="0" xfId="0" applyNumberFormat="1" applyFont="1" applyAlignment="1">
      <alignment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6" fillId="39" borderId="11" xfId="0" applyFont="1" applyFill="1" applyBorder="1" applyAlignment="1">
      <alignment horizontal="left"/>
    </xf>
    <xf numFmtId="0" fontId="76" fillId="39" borderId="0" xfId="0" applyFont="1" applyFill="1" applyBorder="1" applyAlignment="1">
      <alignment horizontal="left"/>
    </xf>
    <xf numFmtId="0" fontId="76" fillId="39" borderId="22" xfId="0" applyFont="1" applyFill="1" applyBorder="1" applyAlignment="1">
      <alignment horizontal="left"/>
    </xf>
    <xf numFmtId="0" fontId="73" fillId="39" borderId="23" xfId="0" applyFont="1" applyFill="1" applyBorder="1" applyAlignment="1">
      <alignment horizontal="center" wrapText="1"/>
    </xf>
    <xf numFmtId="0" fontId="73" fillId="39" borderId="24" xfId="0" applyFont="1" applyFill="1" applyBorder="1" applyAlignment="1">
      <alignment horizontal="center" wrapText="1"/>
    </xf>
    <xf numFmtId="0" fontId="73" fillId="39" borderId="24" xfId="0" applyFont="1" applyFill="1" applyBorder="1" applyAlignment="1">
      <alignment horizontal="center"/>
    </xf>
    <xf numFmtId="0" fontId="17" fillId="39" borderId="24" xfId="0" applyFont="1" applyFill="1" applyBorder="1" applyAlignment="1">
      <alignment horizontal="center" wrapText="1"/>
    </xf>
    <xf numFmtId="0" fontId="17" fillId="39" borderId="25" xfId="0" applyFont="1" applyFill="1" applyBorder="1" applyAlignment="1">
      <alignment horizontal="center" wrapText="1"/>
    </xf>
    <xf numFmtId="0" fontId="16" fillId="39" borderId="23" xfId="0" applyFont="1" applyFill="1" applyBorder="1" applyAlignment="1">
      <alignment horizontal="center" vertical="center" wrapText="1"/>
    </xf>
    <xf numFmtId="0" fontId="16" fillId="39" borderId="26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8" fontId="73" fillId="0" borderId="10" xfId="0" applyNumberFormat="1" applyFont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8" fontId="76" fillId="40" borderId="10" xfId="0" applyNumberFormat="1" applyFont="1" applyFill="1" applyBorder="1" applyAlignment="1">
      <alignment horizontal="center" vertical="center"/>
    </xf>
    <xf numFmtId="8" fontId="16" fillId="37" borderId="1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 vertical="center"/>
    </xf>
    <xf numFmtId="4" fontId="73" fillId="0" borderId="0" xfId="0" applyNumberFormat="1" applyFont="1" applyAlignment="1">
      <alignment horizontal="center"/>
    </xf>
    <xf numFmtId="0" fontId="73" fillId="39" borderId="27" xfId="0" applyFont="1" applyFill="1" applyBorder="1" applyAlignment="1">
      <alignment horizontal="right" vertical="center"/>
    </xf>
    <xf numFmtId="0" fontId="73" fillId="39" borderId="28" xfId="0" applyFont="1" applyFill="1" applyBorder="1" applyAlignment="1">
      <alignment horizontal="right" vertical="center"/>
    </xf>
    <xf numFmtId="0" fontId="73" fillId="39" borderId="29" xfId="0" applyFont="1" applyFill="1" applyBorder="1" applyAlignment="1">
      <alignment horizontal="right" vertical="center"/>
    </xf>
    <xf numFmtId="4" fontId="73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vertical="center" wrapText="1"/>
    </xf>
    <xf numFmtId="0" fontId="76" fillId="39" borderId="23" xfId="0" applyFont="1" applyFill="1" applyBorder="1" applyAlignment="1">
      <alignment horizontal="left" vertical="center" wrapText="1"/>
    </xf>
    <xf numFmtId="0" fontId="76" fillId="39" borderId="24" xfId="0" applyFont="1" applyFill="1" applyBorder="1" applyAlignment="1">
      <alignment horizontal="left" vertical="center" wrapText="1"/>
    </xf>
    <xf numFmtId="0" fontId="76" fillId="39" borderId="25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6" fillId="39" borderId="16" xfId="0" applyFont="1" applyFill="1" applyBorder="1" applyAlignment="1">
      <alignment/>
    </xf>
    <xf numFmtId="0" fontId="76" fillId="39" borderId="17" xfId="0" applyFont="1" applyFill="1" applyBorder="1" applyAlignment="1">
      <alignment/>
    </xf>
    <xf numFmtId="0" fontId="76" fillId="39" borderId="30" xfId="0" applyFont="1" applyFill="1" applyBorder="1" applyAlignment="1">
      <alignment/>
    </xf>
    <xf numFmtId="0" fontId="76" fillId="39" borderId="16" xfId="0" applyFont="1" applyFill="1" applyBorder="1" applyAlignment="1">
      <alignment horizontal="center" vertical="center"/>
    </xf>
    <xf numFmtId="0" fontId="76" fillId="39" borderId="10" xfId="0" applyFont="1" applyFill="1" applyBorder="1" applyAlignment="1">
      <alignment horizontal="center" vertical="center"/>
    </xf>
    <xf numFmtId="0" fontId="76" fillId="39" borderId="1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2" fontId="73" fillId="0" borderId="10" xfId="0" applyNumberFormat="1" applyFont="1" applyBorder="1" applyAlignment="1">
      <alignment horizontal="center"/>
    </xf>
    <xf numFmtId="8" fontId="73" fillId="0" borderId="10" xfId="0" applyNumberFormat="1" applyFont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8" fontId="17" fillId="0" borderId="10" xfId="0" applyNumberFormat="1" applyFont="1" applyBorder="1" applyAlignment="1">
      <alignment horizontal="center"/>
    </xf>
    <xf numFmtId="0" fontId="16" fillId="39" borderId="16" xfId="0" applyFont="1" applyFill="1" applyBorder="1" applyAlignment="1">
      <alignment/>
    </xf>
    <xf numFmtId="0" fontId="16" fillId="39" borderId="17" xfId="0" applyFont="1" applyFill="1" applyBorder="1" applyAlignment="1">
      <alignment/>
    </xf>
    <xf numFmtId="8" fontId="16" fillId="39" borderId="3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31" xfId="0" applyFont="1" applyBorder="1" applyAlignment="1">
      <alignment/>
    </xf>
    <xf numFmtId="8" fontId="73" fillId="0" borderId="30" xfId="0" applyNumberFormat="1" applyFont="1" applyBorder="1" applyAlignment="1">
      <alignment horizontal="center"/>
    </xf>
    <xf numFmtId="0" fontId="73" fillId="38" borderId="16" xfId="0" applyFont="1" applyFill="1" applyBorder="1" applyAlignment="1">
      <alignment horizontal="center" vertical="center"/>
    </xf>
    <xf numFmtId="0" fontId="17" fillId="38" borderId="31" xfId="0" applyFont="1" applyFill="1" applyBorder="1" applyAlignment="1">
      <alignment vertical="center" wrapText="1"/>
    </xf>
    <xf numFmtId="2" fontId="73" fillId="38" borderId="10" xfId="0" applyNumberFormat="1" applyFont="1" applyFill="1" applyBorder="1" applyAlignment="1">
      <alignment horizontal="center" vertical="center"/>
    </xf>
    <xf numFmtId="8" fontId="73" fillId="38" borderId="30" xfId="0" applyNumberFormat="1" applyFont="1" applyFill="1" applyBorder="1" applyAlignment="1">
      <alignment horizontal="center" vertical="center"/>
    </xf>
    <xf numFmtId="4" fontId="73" fillId="0" borderId="0" xfId="0" applyNumberFormat="1" applyFont="1" applyFill="1" applyBorder="1" applyAlignment="1">
      <alignment horizontal="center" vertical="center"/>
    </xf>
    <xf numFmtId="8" fontId="76" fillId="39" borderId="10" xfId="0" applyNumberFormat="1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8" fillId="0" borderId="0" xfId="0" applyFont="1" applyBorder="1" applyAlignment="1">
      <alignment/>
    </xf>
    <xf numFmtId="0" fontId="78" fillId="0" borderId="0" xfId="0" applyFont="1" applyFill="1" applyBorder="1" applyAlignment="1">
      <alignment/>
    </xf>
    <xf numFmtId="8" fontId="17" fillId="0" borderId="10" xfId="0" applyNumberFormat="1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vertical="center"/>
    </xf>
    <xf numFmtId="10" fontId="17" fillId="0" borderId="1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>
      <alignment/>
    </xf>
    <xf numFmtId="0" fontId="73" fillId="0" borderId="16" xfId="0" applyFont="1" applyBorder="1" applyAlignment="1">
      <alignment horizontal="center"/>
    </xf>
    <xf numFmtId="2" fontId="73" fillId="0" borderId="0" xfId="0" applyNumberFormat="1" applyFont="1" applyFill="1" applyBorder="1" applyAlignment="1">
      <alignment/>
    </xf>
    <xf numFmtId="8" fontId="76" fillId="40" borderId="10" xfId="0" applyNumberFormat="1" applyFont="1" applyFill="1" applyBorder="1" applyAlignment="1">
      <alignment horizontal="center"/>
    </xf>
    <xf numFmtId="4" fontId="76" fillId="0" borderId="0" xfId="0" applyNumberFormat="1" applyFont="1" applyFill="1" applyBorder="1" applyAlignment="1">
      <alignment horizontal="right" vertical="center"/>
    </xf>
    <xf numFmtId="0" fontId="73" fillId="0" borderId="0" xfId="0" applyFont="1" applyAlignment="1">
      <alignment horizontal="center"/>
    </xf>
    <xf numFmtId="170" fontId="73" fillId="0" borderId="16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8" fontId="7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4" fontId="0" fillId="0" borderId="0" xfId="47" applyFont="1" applyAlignment="1">
      <alignment/>
    </xf>
    <xf numFmtId="171" fontId="3" fillId="0" borderId="0" xfId="47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Alignment="1">
      <alignment/>
    </xf>
    <xf numFmtId="10" fontId="3" fillId="0" borderId="0" xfId="0" applyNumberFormat="1" applyFont="1" applyAlignment="1">
      <alignment horizontal="center" vertical="center"/>
    </xf>
    <xf numFmtId="10" fontId="79" fillId="0" borderId="0" xfId="0" applyNumberFormat="1" applyFont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 wrapText="1"/>
    </xf>
    <xf numFmtId="10" fontId="4" fillId="38" borderId="3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2" fontId="73" fillId="38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37" borderId="10" xfId="0" applyFont="1" applyFill="1" applyBorder="1" applyAlignment="1">
      <alignment horizontal="center" vertical="center" wrapText="1"/>
    </xf>
    <xf numFmtId="0" fontId="72" fillId="37" borderId="10" xfId="0" applyFont="1" applyFill="1" applyBorder="1" applyAlignment="1">
      <alignment horizontal="left" vertical="center" wrapText="1"/>
    </xf>
    <xf numFmtId="4" fontId="72" fillId="37" borderId="10" xfId="0" applyNumberFormat="1" applyFont="1" applyFill="1" applyBorder="1" applyAlignment="1">
      <alignment horizontal="center" vertical="center" wrapText="1"/>
    </xf>
    <xf numFmtId="10" fontId="4" fillId="37" borderId="10" xfId="0" applyNumberFormat="1" applyFont="1" applyFill="1" applyBorder="1" applyAlignment="1">
      <alignment horizontal="center" vertical="center" wrapText="1"/>
    </xf>
    <xf numFmtId="10" fontId="4" fillId="4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30" xfId="0" applyFont="1" applyFill="1" applyBorder="1" applyAlignment="1">
      <alignment wrapText="1"/>
    </xf>
    <xf numFmtId="4" fontId="71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7" fontId="0" fillId="41" borderId="13" xfId="0" applyNumberFormat="1" applyFont="1" applyFill="1" applyBorder="1" applyAlignment="1">
      <alignment horizontal="left" vertical="center"/>
    </xf>
    <xf numFmtId="43" fontId="0" fillId="41" borderId="15" xfId="64" applyFont="1" applyFill="1" applyBorder="1" applyAlignment="1" applyProtection="1">
      <alignment horizontal="right" vertical="center"/>
      <protection/>
    </xf>
    <xf numFmtId="10" fontId="0" fillId="37" borderId="14" xfId="64" applyNumberFormat="1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>
      <alignment horizontal="left" vertical="center"/>
    </xf>
    <xf numFmtId="8" fontId="0" fillId="37" borderId="14" xfId="64" applyNumberFormat="1" applyFont="1" applyFill="1" applyBorder="1" applyAlignment="1" applyProtection="1">
      <alignment vertical="center"/>
      <protection/>
    </xf>
    <xf numFmtId="0" fontId="8" fillId="41" borderId="13" xfId="0" applyFont="1" applyFill="1" applyBorder="1" applyAlignment="1">
      <alignment vertical="center"/>
    </xf>
    <xf numFmtId="0" fontId="8" fillId="41" borderId="15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44" fontId="3" fillId="0" borderId="0" xfId="47" applyFont="1" applyAlignment="1">
      <alignment horizontal="center" vertical="center"/>
    </xf>
    <xf numFmtId="44" fontId="4" fillId="41" borderId="30" xfId="47" applyFont="1" applyFill="1" applyBorder="1" applyAlignment="1">
      <alignment horizontal="center" vertical="center" wrapText="1"/>
    </xf>
    <xf numFmtId="44" fontId="3" fillId="41" borderId="16" xfId="47" applyFont="1" applyFill="1" applyBorder="1" applyAlignment="1">
      <alignment horizontal="center" vertical="center" wrapText="1"/>
    </xf>
    <xf numFmtId="44" fontId="4" fillId="33" borderId="10" xfId="47" applyFont="1" applyFill="1" applyBorder="1" applyAlignment="1">
      <alignment horizontal="center" vertical="center" wrapText="1"/>
    </xf>
    <xf numFmtId="44" fontId="4" fillId="37" borderId="10" xfId="47" applyFont="1" applyFill="1" applyBorder="1" applyAlignment="1">
      <alignment horizontal="center" vertical="center" wrapText="1"/>
    </xf>
    <xf numFmtId="44" fontId="3" fillId="0" borderId="10" xfId="47" applyFont="1" applyFill="1" applyBorder="1" applyAlignment="1">
      <alignment horizontal="center" vertical="center" wrapText="1"/>
    </xf>
    <xf numFmtId="44" fontId="3" fillId="0" borderId="26" xfId="47" applyFont="1" applyFill="1" applyBorder="1" applyAlignment="1">
      <alignment horizontal="center" vertical="center" wrapText="1"/>
    </xf>
    <xf numFmtId="44" fontId="4" fillId="38" borderId="17" xfId="47" applyFont="1" applyFill="1" applyBorder="1" applyAlignment="1">
      <alignment horizontal="center" vertical="center" wrapText="1"/>
    </xf>
    <xf numFmtId="44" fontId="3" fillId="37" borderId="10" xfId="47" applyFont="1" applyFill="1" applyBorder="1" applyAlignment="1">
      <alignment horizontal="center" vertical="center" wrapText="1"/>
    </xf>
    <xf numFmtId="44" fontId="4" fillId="40" borderId="10" xfId="47" applyFont="1" applyFill="1" applyBorder="1" applyAlignment="1">
      <alignment horizontal="center" vertical="center" wrapText="1"/>
    </xf>
    <xf numFmtId="44" fontId="75" fillId="0" borderId="17" xfId="47" applyFont="1" applyFill="1" applyBorder="1" applyAlignment="1">
      <alignment horizontal="center" vertical="center" wrapText="1"/>
    </xf>
    <xf numFmtId="178" fontId="4" fillId="33" borderId="10" xfId="47" applyNumberFormat="1" applyFont="1" applyFill="1" applyBorder="1" applyAlignment="1">
      <alignment horizontal="center" vertical="center" wrapText="1"/>
    </xf>
    <xf numFmtId="178" fontId="4" fillId="37" borderId="10" xfId="47" applyNumberFormat="1" applyFont="1" applyFill="1" applyBorder="1" applyAlignment="1">
      <alignment horizontal="center" vertical="center" wrapText="1"/>
    </xf>
    <xf numFmtId="178" fontId="3" fillId="0" borderId="10" xfId="47" applyNumberFormat="1" applyFont="1" applyFill="1" applyBorder="1" applyAlignment="1">
      <alignment horizontal="center" vertical="center" wrapText="1"/>
    </xf>
    <xf numFmtId="178" fontId="5" fillId="0" borderId="10" xfId="47" applyNumberFormat="1" applyFont="1" applyFill="1" applyBorder="1" applyAlignment="1">
      <alignment horizontal="center" vertical="center" wrapText="1"/>
    </xf>
    <xf numFmtId="178" fontId="4" fillId="38" borderId="17" xfId="47" applyNumberFormat="1" applyFont="1" applyFill="1" applyBorder="1" applyAlignment="1">
      <alignment horizontal="center" vertical="center" wrapText="1"/>
    </xf>
    <xf numFmtId="178" fontId="75" fillId="0" borderId="17" xfId="47" applyNumberFormat="1" applyFont="1" applyFill="1" applyBorder="1" applyAlignment="1">
      <alignment horizontal="center" vertical="center" wrapText="1"/>
    </xf>
    <xf numFmtId="178" fontId="3" fillId="0" borderId="0" xfId="47" applyNumberFormat="1" applyFont="1" applyAlignment="1">
      <alignment horizontal="center" vertical="center"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5" fillId="0" borderId="16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5" fillId="0" borderId="3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41" borderId="16" xfId="0" applyFont="1" applyFill="1" applyBorder="1" applyAlignment="1">
      <alignment horizontal="left" vertical="center" wrapText="1"/>
    </xf>
    <xf numFmtId="0" fontId="3" fillId="41" borderId="17" xfId="0" applyFont="1" applyFill="1" applyBorder="1" applyAlignment="1">
      <alignment horizontal="left" vertical="center" wrapText="1"/>
    </xf>
    <xf numFmtId="0" fontId="3" fillId="41" borderId="30" xfId="0" applyFont="1" applyFill="1" applyBorder="1" applyAlignment="1">
      <alignment horizontal="left" vertical="center" wrapText="1"/>
    </xf>
    <xf numFmtId="0" fontId="4" fillId="37" borderId="16" xfId="0" applyFont="1" applyFill="1" applyBorder="1" applyAlignment="1">
      <alignment horizontal="right" vertical="center" wrapText="1"/>
    </xf>
    <xf numFmtId="0" fontId="4" fillId="37" borderId="17" xfId="0" applyFont="1" applyFill="1" applyBorder="1" applyAlignment="1">
      <alignment horizontal="right" vertical="center" wrapText="1"/>
    </xf>
    <xf numFmtId="0" fontId="4" fillId="37" borderId="30" xfId="0" applyFont="1" applyFill="1" applyBorder="1" applyAlignment="1">
      <alignment horizontal="right" vertical="center" wrapText="1"/>
    </xf>
    <xf numFmtId="9" fontId="4" fillId="41" borderId="17" xfId="0" applyNumberFormat="1" applyFont="1" applyFill="1" applyBorder="1" applyAlignment="1">
      <alignment horizontal="left" vertical="center" wrapText="1"/>
    </xf>
    <xf numFmtId="9" fontId="4" fillId="41" borderId="30" xfId="0" applyNumberFormat="1" applyFont="1" applyFill="1" applyBorder="1" applyAlignment="1">
      <alignment horizontal="left" vertical="center" wrapText="1"/>
    </xf>
    <xf numFmtId="178" fontId="3" fillId="0" borderId="16" xfId="47" applyNumberFormat="1" applyFont="1" applyFill="1" applyBorder="1" applyAlignment="1">
      <alignment horizontal="center" vertical="center" wrapText="1"/>
    </xf>
    <xf numFmtId="178" fontId="3" fillId="0" borderId="30" xfId="47" applyNumberFormat="1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right" vertical="center" wrapText="1"/>
    </xf>
    <xf numFmtId="0" fontId="3" fillId="37" borderId="17" xfId="0" applyFont="1" applyFill="1" applyBorder="1" applyAlignment="1">
      <alignment horizontal="right" vertical="center" wrapText="1"/>
    </xf>
    <xf numFmtId="0" fontId="3" fillId="37" borderId="30" xfId="0" applyFont="1" applyFill="1" applyBorder="1" applyAlignment="1">
      <alignment horizontal="right" vertical="center" wrapText="1"/>
    </xf>
    <xf numFmtId="178" fontId="5" fillId="0" borderId="16" xfId="47" applyNumberFormat="1" applyFont="1" applyFill="1" applyBorder="1" applyAlignment="1">
      <alignment horizontal="center" vertical="center" wrapText="1"/>
    </xf>
    <xf numFmtId="178" fontId="5" fillId="0" borderId="30" xfId="47" applyNumberFormat="1" applyFont="1" applyFill="1" applyBorder="1" applyAlignment="1">
      <alignment horizontal="center" vertical="center" wrapText="1"/>
    </xf>
    <xf numFmtId="0" fontId="22" fillId="38" borderId="16" xfId="51" applyFont="1" applyFill="1" applyBorder="1" applyAlignment="1">
      <alignment horizontal="left" vertical="top" wrapText="1"/>
      <protection/>
    </xf>
    <xf numFmtId="0" fontId="22" fillId="38" borderId="17" xfId="51" applyFont="1" applyFill="1" applyBorder="1" applyAlignment="1">
      <alignment horizontal="left" vertical="top" wrapText="1"/>
      <protection/>
    </xf>
    <xf numFmtId="0" fontId="22" fillId="38" borderId="30" xfId="51" applyFont="1" applyFill="1" applyBorder="1" applyAlignment="1">
      <alignment horizontal="left" vertical="top" wrapText="1"/>
      <protection/>
    </xf>
    <xf numFmtId="0" fontId="22" fillId="38" borderId="16" xfId="51" applyFont="1" applyFill="1" applyBorder="1" applyAlignment="1">
      <alignment horizontal="left" vertical="top"/>
      <protection/>
    </xf>
    <xf numFmtId="0" fontId="22" fillId="38" borderId="17" xfId="51" applyFont="1" applyFill="1" applyBorder="1" applyAlignment="1">
      <alignment horizontal="left" vertical="top"/>
      <protection/>
    </xf>
    <xf numFmtId="0" fontId="22" fillId="38" borderId="30" xfId="51" applyFont="1" applyFill="1" applyBorder="1" applyAlignment="1">
      <alignment horizontal="left" vertical="top"/>
      <protection/>
    </xf>
    <xf numFmtId="0" fontId="4" fillId="38" borderId="16" xfId="0" applyFont="1" applyFill="1" applyBorder="1" applyAlignment="1">
      <alignment horizontal="left" vertical="center" wrapText="1"/>
    </xf>
    <xf numFmtId="0" fontId="4" fillId="38" borderId="17" xfId="0" applyFont="1" applyFill="1" applyBorder="1" applyAlignment="1">
      <alignment horizontal="left" vertical="center" wrapText="1"/>
    </xf>
    <xf numFmtId="0" fontId="4" fillId="38" borderId="30" xfId="0" applyFont="1" applyFill="1" applyBorder="1" applyAlignment="1">
      <alignment horizontal="left" vertical="center" wrapText="1"/>
    </xf>
    <xf numFmtId="0" fontId="82" fillId="38" borderId="16" xfId="51" applyFont="1" applyFill="1" applyBorder="1" applyAlignment="1">
      <alignment horizontal="left" vertical="top"/>
      <protection/>
    </xf>
    <xf numFmtId="0" fontId="82" fillId="38" borderId="17" xfId="51" applyFont="1" applyFill="1" applyBorder="1" applyAlignment="1">
      <alignment horizontal="left" vertical="top"/>
      <protection/>
    </xf>
    <xf numFmtId="0" fontId="82" fillId="38" borderId="30" xfId="51" applyFont="1" applyFill="1" applyBorder="1" applyAlignment="1">
      <alignment horizontal="left" vertical="top"/>
      <protection/>
    </xf>
    <xf numFmtId="49" fontId="16" fillId="0" borderId="32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/>
    </xf>
    <xf numFmtId="0" fontId="73" fillId="0" borderId="34" xfId="0" applyFont="1" applyBorder="1" applyAlignment="1">
      <alignment horizontal="center"/>
    </xf>
    <xf numFmtId="0" fontId="73" fillId="0" borderId="35" xfId="0" applyFont="1" applyBorder="1" applyAlignment="1">
      <alignment horizontal="center"/>
    </xf>
    <xf numFmtId="0" fontId="17" fillId="0" borderId="32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76" fillId="39" borderId="27" xfId="0" applyFont="1" applyFill="1" applyBorder="1" applyAlignment="1">
      <alignment horizontal="left"/>
    </xf>
    <xf numFmtId="0" fontId="76" fillId="39" borderId="28" xfId="0" applyFont="1" applyFill="1" applyBorder="1" applyAlignment="1">
      <alignment horizontal="left"/>
    </xf>
    <xf numFmtId="0" fontId="76" fillId="39" borderId="29" xfId="0" applyFont="1" applyFill="1" applyBorder="1" applyAlignment="1">
      <alignment horizontal="left"/>
    </xf>
    <xf numFmtId="0" fontId="76" fillId="39" borderId="11" xfId="0" applyFont="1" applyFill="1" applyBorder="1" applyAlignment="1">
      <alignment horizontal="center"/>
    </xf>
    <xf numFmtId="0" fontId="76" fillId="39" borderId="0" xfId="0" applyFont="1" applyFill="1" applyBorder="1" applyAlignment="1">
      <alignment horizontal="center"/>
    </xf>
    <xf numFmtId="0" fontId="76" fillId="39" borderId="22" xfId="0" applyFont="1" applyFill="1" applyBorder="1" applyAlignment="1">
      <alignment horizontal="center"/>
    </xf>
    <xf numFmtId="0" fontId="73" fillId="39" borderId="11" xfId="0" applyFont="1" applyFill="1" applyBorder="1" applyAlignment="1">
      <alignment horizontal="left" wrapText="1"/>
    </xf>
    <xf numFmtId="0" fontId="73" fillId="39" borderId="0" xfId="0" applyFont="1" applyFill="1" applyBorder="1" applyAlignment="1">
      <alignment horizontal="left" wrapText="1"/>
    </xf>
    <xf numFmtId="0" fontId="73" fillId="39" borderId="22" xfId="0" applyFont="1" applyFill="1" applyBorder="1" applyAlignment="1">
      <alignment horizontal="left" wrapText="1"/>
    </xf>
    <xf numFmtId="0" fontId="16" fillId="39" borderId="26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3" fillId="0" borderId="10" xfId="0" applyFont="1" applyFill="1" applyBorder="1" applyAlignment="1">
      <alignment horizontal="left" vertical="center" wrapText="1"/>
    </xf>
    <xf numFmtId="0" fontId="76" fillId="37" borderId="17" xfId="0" applyFont="1" applyFill="1" applyBorder="1" applyAlignment="1">
      <alignment horizontal="right" vertical="center"/>
    </xf>
    <xf numFmtId="0" fontId="76" fillId="37" borderId="30" xfId="0" applyFont="1" applyFill="1" applyBorder="1" applyAlignment="1">
      <alignment horizontal="right" vertical="center"/>
    </xf>
    <xf numFmtId="0" fontId="73" fillId="0" borderId="28" xfId="0" applyFont="1" applyBorder="1" applyAlignment="1">
      <alignment horizontal="right" vertical="center"/>
    </xf>
    <xf numFmtId="0" fontId="76" fillId="39" borderId="11" xfId="0" applyFont="1" applyFill="1" applyBorder="1" applyAlignment="1">
      <alignment horizontal="center" vertical="center" wrapText="1"/>
    </xf>
    <xf numFmtId="0" fontId="76" fillId="39" borderId="0" xfId="0" applyFont="1" applyFill="1" applyBorder="1" applyAlignment="1">
      <alignment horizontal="center" vertical="center" wrapText="1"/>
    </xf>
    <xf numFmtId="0" fontId="76" fillId="39" borderId="22" xfId="0" applyFont="1" applyFill="1" applyBorder="1" applyAlignment="1">
      <alignment horizontal="center" vertical="center" wrapText="1"/>
    </xf>
    <xf numFmtId="0" fontId="16" fillId="39" borderId="16" xfId="0" applyFont="1" applyFill="1" applyBorder="1" applyAlignment="1">
      <alignment horizontal="center"/>
    </xf>
    <xf numFmtId="0" fontId="16" fillId="39" borderId="17" xfId="0" applyFont="1" applyFill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3" fillId="0" borderId="30" xfId="0" applyFont="1" applyBorder="1" applyAlignment="1">
      <alignment horizontal="center"/>
    </xf>
    <xf numFmtId="0" fontId="76" fillId="39" borderId="16" xfId="0" applyFont="1" applyFill="1" applyBorder="1" applyAlignment="1">
      <alignment horizontal="center"/>
    </xf>
    <xf numFmtId="0" fontId="76" fillId="39" borderId="17" xfId="0" applyFont="1" applyFill="1" applyBorder="1" applyAlignment="1">
      <alignment horizontal="center"/>
    </xf>
    <xf numFmtId="0" fontId="76" fillId="39" borderId="30" xfId="0" applyFont="1" applyFill="1" applyBorder="1" applyAlignment="1">
      <alignment horizontal="center"/>
    </xf>
    <xf numFmtId="10" fontId="0" fillId="0" borderId="14" xfId="6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8" fontId="0" fillId="41" borderId="14" xfId="53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>
      <alignment horizontal="center" vertical="center"/>
    </xf>
    <xf numFmtId="166" fontId="0" fillId="0" borderId="10" xfId="64" applyNumberFormat="1" applyFont="1" applyFill="1" applyBorder="1" applyAlignment="1" applyProtection="1">
      <alignment horizontal="left" vertical="center"/>
      <protection/>
    </xf>
    <xf numFmtId="0" fontId="8" fillId="41" borderId="36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8" fontId="0" fillId="35" borderId="14" xfId="64" applyNumberFormat="1" applyFont="1" applyFill="1" applyBorder="1" applyAlignment="1" applyProtection="1">
      <alignment horizontal="center" vertical="center"/>
      <protection/>
    </xf>
    <xf numFmtId="10" fontId="0" fillId="35" borderId="14" xfId="64" applyNumberFormat="1" applyFont="1" applyFill="1" applyBorder="1" applyAlignment="1" applyProtection="1">
      <alignment horizontal="center" vertical="center"/>
      <protection/>
    </xf>
    <xf numFmtId="167" fontId="0" fillId="35" borderId="14" xfId="0" applyNumberFormat="1" applyFont="1" applyFill="1" applyBorder="1" applyAlignment="1">
      <alignment horizontal="center" vertical="center"/>
    </xf>
    <xf numFmtId="167" fontId="0" fillId="35" borderId="14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/>
    </xf>
    <xf numFmtId="10" fontId="0" fillId="41" borderId="14" xfId="53" applyNumberFormat="1" applyFont="1" applyFill="1" applyBorder="1" applyAlignment="1" applyProtection="1">
      <alignment horizontal="center" vertical="center"/>
      <protection/>
    </xf>
    <xf numFmtId="10" fontId="0" fillId="35" borderId="14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66" fontId="0" fillId="0" borderId="26" xfId="64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 wrapText="1"/>
    </xf>
    <xf numFmtId="10" fontId="0" fillId="41" borderId="14" xfId="0" applyNumberFormat="1" applyFont="1" applyFill="1" applyBorder="1" applyAlignment="1">
      <alignment horizontal="center" vertical="center"/>
    </xf>
    <xf numFmtId="167" fontId="0" fillId="35" borderId="12" xfId="0" applyNumberFormat="1" applyFont="1" applyFill="1" applyBorder="1" applyAlignment="1">
      <alignment horizontal="center" textRotation="255"/>
    </xf>
    <xf numFmtId="167" fontId="0" fillId="35" borderId="14" xfId="0" applyNumberFormat="1" applyFont="1" applyFill="1" applyBorder="1" applyAlignment="1">
      <alignment horizontal="center" textRotation="255"/>
    </xf>
    <xf numFmtId="10" fontId="0" fillId="37" borderId="36" xfId="0" applyNumberFormat="1" applyFont="1" applyFill="1" applyBorder="1" applyAlignment="1">
      <alignment horizontal="left" vertical="center"/>
    </xf>
    <xf numFmtId="10" fontId="0" fillId="37" borderId="14" xfId="0" applyNumberFormat="1" applyFont="1" applyFill="1" applyBorder="1" applyAlignment="1">
      <alignment horizontal="left" vertical="center"/>
    </xf>
    <xf numFmtId="0" fontId="8" fillId="41" borderId="36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8" fontId="0" fillId="0" borderId="14" xfId="64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8" fontId="0" fillId="35" borderId="14" xfId="64" applyNumberFormat="1" applyFont="1" applyFill="1" applyBorder="1" applyAlignment="1" applyProtection="1">
      <alignment vertical="center"/>
      <protection/>
    </xf>
    <xf numFmtId="8" fontId="0" fillId="0" borderId="14" xfId="64" applyNumberFormat="1" applyFont="1" applyFill="1" applyBorder="1" applyAlignment="1" applyProtection="1">
      <alignment vertical="center"/>
      <protection/>
    </xf>
    <xf numFmtId="8" fontId="0" fillId="41" borderId="14" xfId="0" applyNumberFormat="1" applyFont="1" applyFill="1" applyBorder="1" applyAlignment="1">
      <alignment horizontal="center" vertical="center"/>
    </xf>
    <xf numFmtId="8" fontId="0" fillId="41" borderId="14" xfId="64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1"/>
          <c:y val="0.11975"/>
          <c:w val="0.9765"/>
          <c:h val="0.8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CRONOGRAMA!$X$27:$X$29</c:f>
              <c:numCache/>
            </c:numRef>
          </c:xVal>
          <c:yVal>
            <c:numRef>
              <c:f>CRONOGRAMA!$Y$27:$Y$29</c:f>
              <c:numCache/>
            </c:numRef>
          </c:yVal>
          <c:smooth val="0"/>
        </c:ser>
        <c:axId val="59011711"/>
        <c:axId val="61343352"/>
      </c:scatterChart>
      <c:valAx>
        <c:axId val="59011711"/>
        <c:scaling>
          <c:orientation val="minMax"/>
          <c:max val="3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43352"/>
        <c:crosses val="autoZero"/>
        <c:crossBetween val="midCat"/>
        <c:dispUnits/>
        <c:majorUnit val="1"/>
      </c:valAx>
      <c:valAx>
        <c:axId val="61343352"/>
        <c:scaling>
          <c:orientation val="minMax"/>
          <c:max val="6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117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19050</xdr:rowOff>
    </xdr:from>
    <xdr:to>
      <xdr:col>3</xdr:col>
      <xdr:colOff>476250</xdr:colOff>
      <xdr:row>5</xdr:row>
      <xdr:rowOff>161925</xdr:rowOff>
    </xdr:to>
    <xdr:pic>
      <xdr:nvPicPr>
        <xdr:cNvPr id="1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9050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142875</xdr:rowOff>
    </xdr:from>
    <xdr:to>
      <xdr:col>0</xdr:col>
      <xdr:colOff>609600</xdr:colOff>
      <xdr:row>6</xdr:row>
      <xdr:rowOff>9525</xdr:rowOff>
    </xdr:to>
    <xdr:pic>
      <xdr:nvPicPr>
        <xdr:cNvPr id="1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2875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28575</xdr:rowOff>
    </xdr:from>
    <xdr:to>
      <xdr:col>2</xdr:col>
      <xdr:colOff>419100</xdr:colOff>
      <xdr:row>5</xdr:row>
      <xdr:rowOff>190500</xdr:rowOff>
    </xdr:to>
    <xdr:pic>
      <xdr:nvPicPr>
        <xdr:cNvPr id="2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8575"/>
          <a:ext cx="857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0</xdr:row>
      <xdr:rowOff>142875</xdr:rowOff>
    </xdr:from>
    <xdr:to>
      <xdr:col>0</xdr:col>
      <xdr:colOff>1457325</xdr:colOff>
      <xdr:row>6</xdr:row>
      <xdr:rowOff>9525</xdr:rowOff>
    </xdr:to>
    <xdr:pic>
      <xdr:nvPicPr>
        <xdr:cNvPr id="1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42875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28575</xdr:rowOff>
    </xdr:from>
    <xdr:to>
      <xdr:col>2</xdr:col>
      <xdr:colOff>419100</xdr:colOff>
      <xdr:row>5</xdr:row>
      <xdr:rowOff>190500</xdr:rowOff>
    </xdr:to>
    <xdr:pic>
      <xdr:nvPicPr>
        <xdr:cNvPr id="2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8575"/>
          <a:ext cx="857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19050</xdr:rowOff>
    </xdr:from>
    <xdr:to>
      <xdr:col>1</xdr:col>
      <xdr:colOff>885825</xdr:colOff>
      <xdr:row>7</xdr:row>
      <xdr:rowOff>133350</xdr:rowOff>
    </xdr:to>
    <xdr:pic>
      <xdr:nvPicPr>
        <xdr:cNvPr id="1" name="Picture 47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933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409575</xdr:colOff>
      <xdr:row>15</xdr:row>
      <xdr:rowOff>9525</xdr:rowOff>
    </xdr:from>
    <xdr:to>
      <xdr:col>30</xdr:col>
      <xdr:colOff>571500</xdr:colOff>
      <xdr:row>30</xdr:row>
      <xdr:rowOff>38100</xdr:rowOff>
    </xdr:to>
    <xdr:graphicFrame>
      <xdr:nvGraphicFramePr>
        <xdr:cNvPr id="2" name="Gráfico 1"/>
        <xdr:cNvGraphicFramePr/>
      </xdr:nvGraphicFramePr>
      <xdr:xfrm>
        <a:off x="12182475" y="2619375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SheetLayoutView="90" workbookViewId="0" topLeftCell="A1">
      <selection activeCell="A1" sqref="A1:K61"/>
    </sheetView>
  </sheetViews>
  <sheetFormatPr defaultColWidth="9.140625" defaultRowHeight="12.75"/>
  <cols>
    <col min="1" max="1" width="6.28125" style="1" bestFit="1" customWidth="1"/>
    <col min="2" max="2" width="13.28125" style="1" bestFit="1" customWidth="1"/>
    <col min="3" max="3" width="8.8515625" style="1" bestFit="1" customWidth="1"/>
    <col min="4" max="4" width="61.8515625" style="10" bestFit="1" customWidth="1"/>
    <col min="5" max="5" width="6.7109375" style="1" customWidth="1"/>
    <col min="6" max="6" width="8.57421875" style="18" customWidth="1"/>
    <col min="7" max="7" width="14.421875" style="210" customWidth="1"/>
    <col min="8" max="8" width="13.00390625" style="193" customWidth="1"/>
    <col min="9" max="9" width="12.7109375" style="193" customWidth="1"/>
    <col min="10" max="10" width="15.57421875" style="193" customWidth="1"/>
    <col min="11" max="11" width="13.421875" style="156" customWidth="1"/>
    <col min="12" max="12" width="8.140625" style="2" bestFit="1" customWidth="1"/>
    <col min="13" max="13" width="20.8515625" style="2" bestFit="1" customWidth="1"/>
    <col min="14" max="14" width="10.7109375" style="2" bestFit="1" customWidth="1"/>
    <col min="15" max="15" width="9.140625" style="2" customWidth="1"/>
    <col min="16" max="23" width="2.7109375" style="2" customWidth="1"/>
    <col min="24" max="24" width="21.00390625" style="21" customWidth="1"/>
    <col min="25" max="31" width="10.7109375" style="21" customWidth="1"/>
    <col min="32" max="16384" width="9.140625" style="21" customWidth="1"/>
  </cols>
  <sheetData>
    <row r="1" spans="2:9" ht="12.75">
      <c r="B1" s="226" t="s">
        <v>17</v>
      </c>
      <c r="C1" s="226"/>
      <c r="D1" s="226"/>
      <c r="E1" s="226"/>
      <c r="F1" s="226"/>
      <c r="G1" s="226"/>
      <c r="H1" s="226"/>
      <c r="I1" s="226"/>
    </row>
    <row r="2" spans="2:9" ht="12.75">
      <c r="B2" s="226" t="s">
        <v>22</v>
      </c>
      <c r="C2" s="226"/>
      <c r="D2" s="226"/>
      <c r="E2" s="226"/>
      <c r="F2" s="226"/>
      <c r="G2" s="226"/>
      <c r="H2" s="226"/>
      <c r="I2" s="226"/>
    </row>
    <row r="3" spans="2:9" ht="12.75">
      <c r="B3" s="226" t="s">
        <v>18</v>
      </c>
      <c r="C3" s="226"/>
      <c r="D3" s="226"/>
      <c r="E3" s="226"/>
      <c r="F3" s="226"/>
      <c r="G3" s="226"/>
      <c r="H3" s="226"/>
      <c r="I3" s="226"/>
    </row>
    <row r="4" spans="2:9" ht="12.75">
      <c r="B4" s="226" t="s">
        <v>19</v>
      </c>
      <c r="C4" s="226"/>
      <c r="D4" s="226"/>
      <c r="E4" s="226"/>
      <c r="F4" s="226"/>
      <c r="G4" s="226"/>
      <c r="H4" s="226"/>
      <c r="I4" s="226"/>
    </row>
    <row r="5" spans="2:9" ht="12.75">
      <c r="B5" s="226" t="s">
        <v>99</v>
      </c>
      <c r="C5" s="226"/>
      <c r="D5" s="226"/>
      <c r="E5" s="226"/>
      <c r="F5" s="226"/>
      <c r="G5" s="226"/>
      <c r="H5" s="226"/>
      <c r="I5" s="226"/>
    </row>
    <row r="6" spans="2:23" ht="12.75">
      <c r="B6" s="226" t="s">
        <v>98</v>
      </c>
      <c r="C6" s="226"/>
      <c r="D6" s="226"/>
      <c r="E6" s="226"/>
      <c r="F6" s="226"/>
      <c r="G6" s="226"/>
      <c r="H6" s="226"/>
      <c r="I6" s="226"/>
      <c r="K6" s="157">
        <v>1.25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27" t="s">
        <v>38</v>
      </c>
      <c r="B7" s="228"/>
      <c r="C7" s="228"/>
      <c r="D7" s="229"/>
      <c r="E7" s="227" t="s">
        <v>30</v>
      </c>
      <c r="F7" s="228"/>
      <c r="G7" s="228"/>
      <c r="H7" s="228"/>
      <c r="I7" s="228"/>
      <c r="J7" s="228"/>
      <c r="K7" s="229"/>
      <c r="L7" s="50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.75">
      <c r="A8" s="227" t="s">
        <v>39</v>
      </c>
      <c r="B8" s="228"/>
      <c r="C8" s="228"/>
      <c r="D8" s="229"/>
      <c r="E8" s="227" t="s">
        <v>31</v>
      </c>
      <c r="F8" s="228"/>
      <c r="G8" s="228"/>
      <c r="H8" s="228"/>
      <c r="I8" s="228"/>
      <c r="J8" s="228"/>
      <c r="K8" s="229"/>
      <c r="L8" s="50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2.75">
      <c r="A9" s="227" t="s">
        <v>197</v>
      </c>
      <c r="B9" s="228"/>
      <c r="C9" s="228"/>
      <c r="D9" s="229"/>
      <c r="E9" s="227" t="s">
        <v>61</v>
      </c>
      <c r="F9" s="228"/>
      <c r="G9" s="228"/>
      <c r="H9" s="194"/>
      <c r="I9" s="195" t="s">
        <v>0</v>
      </c>
      <c r="J9" s="233">
        <v>0.25</v>
      </c>
      <c r="K9" s="234"/>
      <c r="L9" s="8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4" ht="38.25">
      <c r="A10" s="5" t="s">
        <v>11</v>
      </c>
      <c r="B10" s="5" t="s">
        <v>23</v>
      </c>
      <c r="C10" s="5" t="s">
        <v>25</v>
      </c>
      <c r="D10" s="11" t="s">
        <v>12</v>
      </c>
      <c r="E10" s="5" t="s">
        <v>13</v>
      </c>
      <c r="F10" s="19" t="s">
        <v>14</v>
      </c>
      <c r="G10" s="204" t="s">
        <v>26</v>
      </c>
      <c r="H10" s="196" t="s">
        <v>27</v>
      </c>
      <c r="I10" s="196" t="s">
        <v>28</v>
      </c>
      <c r="J10" s="196" t="s">
        <v>33</v>
      </c>
      <c r="K10" s="158" t="s">
        <v>62</v>
      </c>
      <c r="L10" s="51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5" t="s">
        <v>47</v>
      </c>
    </row>
    <row r="11" spans="1:24" ht="12.75">
      <c r="A11" s="166">
        <v>1</v>
      </c>
      <c r="B11" s="166"/>
      <c r="C11" s="166"/>
      <c r="D11" s="167" t="s">
        <v>15</v>
      </c>
      <c r="E11" s="166"/>
      <c r="F11" s="168"/>
      <c r="G11" s="205"/>
      <c r="H11" s="197"/>
      <c r="I11" s="197"/>
      <c r="J11" s="197"/>
      <c r="K11" s="169"/>
      <c r="L11" s="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6"/>
    </row>
    <row r="12" spans="1:24" s="175" customFormat="1" ht="25.5">
      <c r="A12" s="171" t="s">
        <v>24</v>
      </c>
      <c r="B12" s="171" t="s">
        <v>46</v>
      </c>
      <c r="C12" s="171" t="s">
        <v>69</v>
      </c>
      <c r="D12" s="176" t="s">
        <v>40</v>
      </c>
      <c r="E12" s="171" t="s">
        <v>49</v>
      </c>
      <c r="F12" s="177">
        <f>4*2</f>
        <v>8</v>
      </c>
      <c r="G12" s="206">
        <v>804.87</v>
      </c>
      <c r="H12" s="206">
        <v>77.5</v>
      </c>
      <c r="I12" s="206">
        <f>G12+H12</f>
        <v>882.37</v>
      </c>
      <c r="J12" s="206">
        <f>ROUNDDOWN(F12*I12*$K$6,2)</f>
        <v>8823.7</v>
      </c>
      <c r="K12" s="174">
        <f>ROUNDDOWN(J12/$J$47,4)</f>
        <v>0.0149</v>
      </c>
      <c r="L12" s="7" t="s">
        <v>194</v>
      </c>
      <c r="M12" s="153">
        <f>F12*I12*1.25</f>
        <v>8823.7</v>
      </c>
      <c r="N12" s="154">
        <f aca="true" t="shared" si="0" ref="N12:N17">M12/$J$47</f>
        <v>0.014922261</v>
      </c>
      <c r="O12" s="8"/>
      <c r="P12" s="8"/>
      <c r="Q12" s="8"/>
      <c r="R12" s="8"/>
      <c r="S12" s="8"/>
      <c r="T12" s="8"/>
      <c r="U12" s="8"/>
      <c r="V12" s="8"/>
      <c r="W12" s="8"/>
      <c r="X12" s="171" t="s">
        <v>48</v>
      </c>
    </row>
    <row r="13" spans="1:24" s="175" customFormat="1" ht="25.5">
      <c r="A13" s="178" t="s">
        <v>50</v>
      </c>
      <c r="B13" s="171" t="s">
        <v>46</v>
      </c>
      <c r="C13" s="171" t="s">
        <v>63</v>
      </c>
      <c r="D13" s="176" t="s">
        <v>64</v>
      </c>
      <c r="E13" s="171" t="s">
        <v>49</v>
      </c>
      <c r="F13" s="173">
        <f>(304.04-18.12)*2.2</f>
        <v>629.02</v>
      </c>
      <c r="G13" s="206">
        <v>54.31</v>
      </c>
      <c r="H13" s="206">
        <v>44.99</v>
      </c>
      <c r="I13" s="206">
        <f>G13+H13</f>
        <v>99.3</v>
      </c>
      <c r="J13" s="206">
        <f>ROUNDUP(F13*I13*$K$6,2)</f>
        <v>78077.11</v>
      </c>
      <c r="K13" s="174">
        <f>ROUNDDOWN(J13/$J$47,4)</f>
        <v>0.132</v>
      </c>
      <c r="L13" s="7" t="s">
        <v>195</v>
      </c>
      <c r="M13" s="153">
        <f aca="true" t="shared" si="1" ref="M13:M44">F13*I13*1.25</f>
        <v>78077.1075</v>
      </c>
      <c r="N13" s="154">
        <f t="shared" si="0"/>
        <v>0.132040637</v>
      </c>
      <c r="O13" s="8"/>
      <c r="P13" s="8"/>
      <c r="Q13" s="8"/>
      <c r="R13" s="8"/>
      <c r="S13" s="8"/>
      <c r="T13" s="8"/>
      <c r="U13" s="8"/>
      <c r="V13" s="8"/>
      <c r="W13" s="8"/>
      <c r="X13" s="171"/>
    </row>
    <row r="14" spans="1:24" s="175" customFormat="1" ht="38.25">
      <c r="A14" s="178" t="s">
        <v>171</v>
      </c>
      <c r="B14" s="171" t="s">
        <v>46</v>
      </c>
      <c r="C14" s="171" t="s">
        <v>59</v>
      </c>
      <c r="D14" s="179" t="s">
        <v>60</v>
      </c>
      <c r="E14" s="171" t="s">
        <v>49</v>
      </c>
      <c r="F14" s="173">
        <v>700</v>
      </c>
      <c r="G14" s="206">
        <v>7.36</v>
      </c>
      <c r="H14" s="198">
        <v>10.12</v>
      </c>
      <c r="I14" s="206">
        <f>G14+H14</f>
        <v>17.48</v>
      </c>
      <c r="J14" s="206">
        <f>ROUNDDOWN(F14*I14*$K$6,2)</f>
        <v>15295</v>
      </c>
      <c r="K14" s="174">
        <f>ROUNDUP(J14/$J$47,4)</f>
        <v>0.0259</v>
      </c>
      <c r="L14" s="7" t="s">
        <v>194</v>
      </c>
      <c r="M14" s="153">
        <f t="shared" si="1"/>
        <v>15295</v>
      </c>
      <c r="N14" s="154">
        <f t="shared" si="0"/>
        <v>0.025866244</v>
      </c>
      <c r="O14" s="8"/>
      <c r="P14" s="8"/>
      <c r="Q14" s="8"/>
      <c r="R14" s="8"/>
      <c r="S14" s="8"/>
      <c r="T14" s="8"/>
      <c r="U14" s="8"/>
      <c r="V14" s="8"/>
      <c r="W14" s="8"/>
      <c r="X14" s="171"/>
    </row>
    <row r="15" spans="1:23" s="175" customFormat="1" ht="26.25" customHeight="1">
      <c r="A15" s="171" t="s">
        <v>57</v>
      </c>
      <c r="B15" s="171" t="s">
        <v>46</v>
      </c>
      <c r="C15" s="180" t="s">
        <v>75</v>
      </c>
      <c r="D15" s="176" t="s">
        <v>196</v>
      </c>
      <c r="E15" s="171" t="s">
        <v>52</v>
      </c>
      <c r="F15" s="173">
        <f>(2.1*1.75*0.25)+((1.59+3.9+1.62)*0.45*0.45)+(45*0.45*0.4)</f>
        <v>10.46</v>
      </c>
      <c r="G15" s="235">
        <v>67.48</v>
      </c>
      <c r="H15" s="236"/>
      <c r="I15" s="206">
        <f>H15+G15</f>
        <v>67.48</v>
      </c>
      <c r="J15" s="206">
        <f>ROUNDDOWN(F15*I15*$K$6,2)</f>
        <v>882.3</v>
      </c>
      <c r="K15" s="174">
        <f>ROUNDUP(J15/$J$47,4)</f>
        <v>0.0015</v>
      </c>
      <c r="L15" s="8" t="s">
        <v>194</v>
      </c>
      <c r="M15" s="153">
        <f t="shared" si="1"/>
        <v>882.301</v>
      </c>
      <c r="N15" s="154">
        <f t="shared" si="0"/>
        <v>0.001492109</v>
      </c>
      <c r="O15" s="4"/>
      <c r="P15" s="4"/>
      <c r="Q15" s="4"/>
      <c r="R15" s="4"/>
      <c r="S15" s="4"/>
      <c r="T15" s="4"/>
      <c r="U15" s="4"/>
      <c r="V15" s="4"/>
      <c r="W15" s="4"/>
    </row>
    <row r="16" spans="1:23" s="175" customFormat="1" ht="12.75" customHeight="1">
      <c r="A16" s="178" t="s">
        <v>58</v>
      </c>
      <c r="B16" s="171" t="s">
        <v>46</v>
      </c>
      <c r="C16" s="180" t="s">
        <v>77</v>
      </c>
      <c r="D16" s="176" t="s">
        <v>76</v>
      </c>
      <c r="E16" s="171" t="s">
        <v>52</v>
      </c>
      <c r="F16" s="173">
        <f>2*0.19*0.4*2.1+0.25*0.3*2.1+1.7*2.6*0.1</f>
        <v>0.92</v>
      </c>
      <c r="G16" s="235">
        <v>337.4</v>
      </c>
      <c r="H16" s="236"/>
      <c r="I16" s="206">
        <f>H16+G16</f>
        <v>337.4</v>
      </c>
      <c r="J16" s="206">
        <f>ROUNDDOWN(F16*I16*$K$6,2)</f>
        <v>388.01</v>
      </c>
      <c r="K16" s="174">
        <f>ROUNDUP(J16/$J$47,4)</f>
        <v>0.0007</v>
      </c>
      <c r="L16" s="8" t="s">
        <v>194</v>
      </c>
      <c r="M16" s="153">
        <f t="shared" si="1"/>
        <v>388.01</v>
      </c>
      <c r="N16" s="154">
        <f t="shared" si="0"/>
        <v>0.000656186</v>
      </c>
      <c r="O16" s="4"/>
      <c r="P16" s="4"/>
      <c r="Q16" s="4"/>
      <c r="R16" s="4"/>
      <c r="S16" s="4"/>
      <c r="T16" s="4"/>
      <c r="U16" s="4"/>
      <c r="V16" s="4"/>
      <c r="W16" s="4"/>
    </row>
    <row r="17" spans="1:24" s="175" customFormat="1" ht="51">
      <c r="A17" s="178" t="s">
        <v>170</v>
      </c>
      <c r="B17" s="171" t="s">
        <v>46</v>
      </c>
      <c r="C17" s="180" t="s">
        <v>55</v>
      </c>
      <c r="D17" s="176" t="s">
        <v>54</v>
      </c>
      <c r="E17" s="171" t="s">
        <v>52</v>
      </c>
      <c r="F17" s="173">
        <f>F15+F16+(F14*0.05)</f>
        <v>46.38</v>
      </c>
      <c r="G17" s="207">
        <v>82.65</v>
      </c>
      <c r="H17" s="207">
        <v>10.12</v>
      </c>
      <c r="I17" s="206">
        <f>G17+H17</f>
        <v>92.77</v>
      </c>
      <c r="J17" s="206">
        <f>ROUNDDOWN(F17*I17*$K$6,2)</f>
        <v>5378.34</v>
      </c>
      <c r="K17" s="174">
        <f>ROUNDUP(J17/$J$47,4)</f>
        <v>0.0091</v>
      </c>
      <c r="L17" s="7" t="s">
        <v>194</v>
      </c>
      <c r="M17" s="153">
        <f t="shared" si="1"/>
        <v>5378.34075</v>
      </c>
      <c r="N17" s="154">
        <f t="shared" si="0"/>
        <v>0.009095618</v>
      </c>
      <c r="O17" s="8"/>
      <c r="P17" s="8"/>
      <c r="Q17" s="8"/>
      <c r="R17" s="8"/>
      <c r="S17" s="8"/>
      <c r="T17" s="8"/>
      <c r="U17" s="8"/>
      <c r="V17" s="8"/>
      <c r="W17" s="8"/>
      <c r="X17" s="171"/>
    </row>
    <row r="18" spans="1:24" ht="12.75">
      <c r="A18" s="230" t="s">
        <v>16</v>
      </c>
      <c r="B18" s="231"/>
      <c r="C18" s="231"/>
      <c r="D18" s="231"/>
      <c r="E18" s="231"/>
      <c r="F18" s="231"/>
      <c r="G18" s="231"/>
      <c r="H18" s="231"/>
      <c r="I18" s="232"/>
      <c r="J18" s="197">
        <f>SUM(J12:J17)</f>
        <v>108844.46</v>
      </c>
      <c r="K18" s="169">
        <f>ROUNDUP(J18/$J$47,4)</f>
        <v>0.1841</v>
      </c>
      <c r="L18" s="7"/>
      <c r="M18" s="153"/>
      <c r="N18" s="154"/>
      <c r="O18" s="4"/>
      <c r="P18" s="4"/>
      <c r="Q18" s="4"/>
      <c r="R18" s="4"/>
      <c r="S18" s="4"/>
      <c r="T18" s="4"/>
      <c r="U18" s="4"/>
      <c r="V18" s="4"/>
      <c r="W18" s="4"/>
      <c r="X18" s="6"/>
    </row>
    <row r="19" spans="1:23" ht="4.5" customHeight="1">
      <c r="A19" s="215"/>
      <c r="B19" s="216"/>
      <c r="C19" s="216"/>
      <c r="D19" s="216"/>
      <c r="E19" s="216"/>
      <c r="F19" s="216"/>
      <c r="G19" s="216"/>
      <c r="H19" s="216"/>
      <c r="I19" s="216"/>
      <c r="J19" s="216"/>
      <c r="K19" s="217"/>
      <c r="L19" s="7"/>
      <c r="M19" s="153"/>
      <c r="N19" s="154"/>
      <c r="O19" s="4"/>
      <c r="P19" s="4"/>
      <c r="Q19" s="4"/>
      <c r="R19" s="4"/>
      <c r="S19" s="4"/>
      <c r="T19" s="4"/>
      <c r="U19" s="4"/>
      <c r="V19" s="4"/>
      <c r="W19" s="4"/>
    </row>
    <row r="20" spans="1:24" ht="12.75">
      <c r="A20" s="166">
        <v>2</v>
      </c>
      <c r="B20" s="166"/>
      <c r="C20" s="166"/>
      <c r="D20" s="167" t="s">
        <v>41</v>
      </c>
      <c r="E20" s="166"/>
      <c r="F20" s="168"/>
      <c r="G20" s="205"/>
      <c r="H20" s="197"/>
      <c r="I20" s="197"/>
      <c r="J20" s="197"/>
      <c r="K20" s="169"/>
      <c r="L20" s="7"/>
      <c r="M20" s="153"/>
      <c r="N20" s="154"/>
      <c r="O20" s="4"/>
      <c r="P20" s="4"/>
      <c r="Q20" s="4"/>
      <c r="R20" s="4"/>
      <c r="S20" s="4"/>
      <c r="T20" s="4"/>
      <c r="U20" s="4"/>
      <c r="V20" s="4"/>
      <c r="W20" s="4"/>
      <c r="X20" s="6"/>
    </row>
    <row r="21" spans="1:24" s="175" customFormat="1" ht="13.5" customHeight="1">
      <c r="A21" s="171" t="s">
        <v>193</v>
      </c>
      <c r="B21" s="171" t="s">
        <v>46</v>
      </c>
      <c r="C21" s="180" t="s">
        <v>44</v>
      </c>
      <c r="D21" s="176" t="s">
        <v>45</v>
      </c>
      <c r="E21" s="171" t="s">
        <v>49</v>
      </c>
      <c r="F21" s="173">
        <v>700</v>
      </c>
      <c r="G21" s="207">
        <v>287.01</v>
      </c>
      <c r="H21" s="199">
        <v>0</v>
      </c>
      <c r="I21" s="198">
        <f>G21+H21</f>
        <v>287.01</v>
      </c>
      <c r="J21" s="207">
        <f>ROUNDDOWN(F21*I21*$K$6,2)</f>
        <v>251133.75</v>
      </c>
      <c r="K21" s="174">
        <f>ROUNDUP(J21/$J$47,4)</f>
        <v>0.4248</v>
      </c>
      <c r="L21" s="7" t="s">
        <v>194</v>
      </c>
      <c r="M21" s="153">
        <f t="shared" si="1"/>
        <v>251133.75</v>
      </c>
      <c r="N21" s="154">
        <f>M21/$J$47</f>
        <v>0.424706567</v>
      </c>
      <c r="O21" s="4"/>
      <c r="P21" s="4"/>
      <c r="Q21" s="4"/>
      <c r="R21" s="4"/>
      <c r="S21" s="4"/>
      <c r="T21" s="4"/>
      <c r="U21" s="4"/>
      <c r="V21" s="4"/>
      <c r="W21" s="4"/>
      <c r="X21" s="171"/>
    </row>
    <row r="22" spans="1:24" ht="12.75">
      <c r="A22" s="230" t="s">
        <v>36</v>
      </c>
      <c r="B22" s="231"/>
      <c r="C22" s="231"/>
      <c r="D22" s="231"/>
      <c r="E22" s="231"/>
      <c r="F22" s="231"/>
      <c r="G22" s="231"/>
      <c r="H22" s="231"/>
      <c r="I22" s="232"/>
      <c r="J22" s="197">
        <f>SUM(J21:J21)</f>
        <v>251133.75</v>
      </c>
      <c r="K22" s="169">
        <f>ROUNDUP(J22/$J$47,4)</f>
        <v>0.4248</v>
      </c>
      <c r="L22" s="7"/>
      <c r="M22" s="153">
        <f t="shared" si="1"/>
        <v>0</v>
      </c>
      <c r="N22" s="154">
        <f>M22/$J$47</f>
        <v>0</v>
      </c>
      <c r="O22" s="4"/>
      <c r="P22" s="4"/>
      <c r="Q22" s="4"/>
      <c r="R22" s="4"/>
      <c r="S22" s="4"/>
      <c r="T22" s="4"/>
      <c r="U22" s="4"/>
      <c r="V22" s="4"/>
      <c r="W22" s="4"/>
      <c r="X22" s="6"/>
    </row>
    <row r="23" spans="1:23" ht="3.75" customHeight="1">
      <c r="A23" s="215"/>
      <c r="B23" s="216"/>
      <c r="C23" s="216"/>
      <c r="D23" s="216"/>
      <c r="E23" s="216"/>
      <c r="F23" s="216"/>
      <c r="G23" s="216"/>
      <c r="H23" s="216"/>
      <c r="I23" s="216"/>
      <c r="J23" s="216"/>
      <c r="K23" s="217"/>
      <c r="L23" s="7"/>
      <c r="M23" s="153"/>
      <c r="N23" s="15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>
      <c r="A24" s="166">
        <v>3</v>
      </c>
      <c r="B24" s="166"/>
      <c r="C24" s="166"/>
      <c r="D24" s="167" t="s">
        <v>172</v>
      </c>
      <c r="E24" s="166"/>
      <c r="F24" s="168"/>
      <c r="G24" s="205"/>
      <c r="H24" s="197"/>
      <c r="I24" s="197"/>
      <c r="J24" s="197"/>
      <c r="K24" s="169"/>
      <c r="L24" s="8"/>
      <c r="M24" s="153"/>
      <c r="N24" s="154"/>
      <c r="O24" s="4"/>
      <c r="P24" s="4"/>
      <c r="Q24" s="4"/>
      <c r="R24" s="4"/>
      <c r="S24" s="4"/>
      <c r="T24" s="4"/>
      <c r="U24" s="4"/>
      <c r="V24" s="4"/>
      <c r="W24" s="4"/>
    </row>
    <row r="25" spans="1:23" s="175" customFormat="1" ht="25.5">
      <c r="A25" s="171" t="s">
        <v>65</v>
      </c>
      <c r="B25" s="171" t="s">
        <v>46</v>
      </c>
      <c r="C25" s="180" t="s">
        <v>78</v>
      </c>
      <c r="D25" s="172" t="s">
        <v>79</v>
      </c>
      <c r="E25" s="171" t="s">
        <v>49</v>
      </c>
      <c r="F25" s="173">
        <f>(45*0.45)*2</f>
        <v>40.5</v>
      </c>
      <c r="G25" s="207">
        <v>62.54</v>
      </c>
      <c r="H25" s="207">
        <v>30.41</v>
      </c>
      <c r="I25" s="207">
        <f>H25+G25</f>
        <v>92.95</v>
      </c>
      <c r="J25" s="207">
        <f>ROUNDDOWN(F25*I25*$K$6,2)</f>
        <v>4705.59</v>
      </c>
      <c r="K25" s="174">
        <f>ROUNDUP(J25/$J$47,4)</f>
        <v>0.008</v>
      </c>
      <c r="L25" s="8" t="s">
        <v>194</v>
      </c>
      <c r="M25" s="153">
        <f t="shared" si="1"/>
        <v>4705.59375</v>
      </c>
      <c r="N25" s="154">
        <f>M25/$J$47</f>
        <v>0.007957897</v>
      </c>
      <c r="O25" s="4"/>
      <c r="P25" s="4"/>
      <c r="Q25" s="4"/>
      <c r="R25" s="4"/>
      <c r="S25" s="4"/>
      <c r="T25" s="4"/>
      <c r="U25" s="4"/>
      <c r="V25" s="4"/>
      <c r="W25" s="4"/>
    </row>
    <row r="26" spans="1:23" s="175" customFormat="1" ht="25.5">
      <c r="A26" s="171" t="s">
        <v>66</v>
      </c>
      <c r="B26" s="171" t="s">
        <v>46</v>
      </c>
      <c r="C26" s="180" t="s">
        <v>82</v>
      </c>
      <c r="D26" s="172" t="s">
        <v>83</v>
      </c>
      <c r="E26" s="171" t="s">
        <v>49</v>
      </c>
      <c r="F26" s="173">
        <f>(45*0.45)+(45*0.4)</f>
        <v>38.25</v>
      </c>
      <c r="G26" s="207">
        <v>2.37</v>
      </c>
      <c r="H26" s="207">
        <v>3.95</v>
      </c>
      <c r="I26" s="207">
        <f>H26+G26</f>
        <v>6.32</v>
      </c>
      <c r="J26" s="207">
        <f>ROUNDUP(F26*I26*$K$6,2)</f>
        <v>302.18</v>
      </c>
      <c r="K26" s="174">
        <f>ROUNDDOWN(J26/$J$47,4)</f>
        <v>0.0005</v>
      </c>
      <c r="L26" s="8" t="s">
        <v>194</v>
      </c>
      <c r="M26" s="153">
        <f t="shared" si="1"/>
        <v>302.175</v>
      </c>
      <c r="N26" s="154">
        <f>M26/$J$47</f>
        <v>0.000511025</v>
      </c>
      <c r="O26" s="4"/>
      <c r="P26" s="4"/>
      <c r="Q26" s="4"/>
      <c r="R26" s="4"/>
      <c r="S26" s="4"/>
      <c r="T26" s="4"/>
      <c r="U26" s="4"/>
      <c r="V26" s="4"/>
      <c r="W26" s="4"/>
    </row>
    <row r="27" spans="1:23" s="175" customFormat="1" ht="25.5">
      <c r="A27" s="171" t="s">
        <v>67</v>
      </c>
      <c r="B27" s="171" t="s">
        <v>46</v>
      </c>
      <c r="C27" s="180" t="s">
        <v>84</v>
      </c>
      <c r="D27" s="172" t="s">
        <v>85</v>
      </c>
      <c r="E27" s="171" t="s">
        <v>49</v>
      </c>
      <c r="F27" s="173">
        <f>(45*0.45)+(45*0.4)</f>
        <v>38.25</v>
      </c>
      <c r="G27" s="207">
        <v>9.55</v>
      </c>
      <c r="H27" s="207">
        <v>10.86</v>
      </c>
      <c r="I27" s="207">
        <f>H27+G27</f>
        <v>20.41</v>
      </c>
      <c r="J27" s="207">
        <f>ROUNDDOWN(F27*I27*$K$6,2)</f>
        <v>975.85</v>
      </c>
      <c r="K27" s="174">
        <f>ROUNDDOWN(J27/$J$47,4)</f>
        <v>0.0016</v>
      </c>
      <c r="L27" s="8" t="s">
        <v>194</v>
      </c>
      <c r="M27" s="153">
        <f t="shared" si="1"/>
        <v>975.853125</v>
      </c>
      <c r="N27" s="154">
        <f>M27/$J$47</f>
        <v>0.001650321</v>
      </c>
      <c r="O27" s="4"/>
      <c r="P27" s="4"/>
      <c r="Q27" s="4"/>
      <c r="R27" s="4"/>
      <c r="S27" s="4"/>
      <c r="T27" s="4"/>
      <c r="U27" s="4"/>
      <c r="V27" s="4"/>
      <c r="W27" s="4"/>
    </row>
    <row r="28" spans="1:23" s="175" customFormat="1" ht="25.5">
      <c r="A28" s="171" t="s">
        <v>80</v>
      </c>
      <c r="B28" s="171" t="s">
        <v>46</v>
      </c>
      <c r="C28" s="180" t="s">
        <v>86</v>
      </c>
      <c r="D28" s="172" t="s">
        <v>87</v>
      </c>
      <c r="E28" s="171" t="s">
        <v>49</v>
      </c>
      <c r="F28" s="173">
        <f>(45*0.45)+(45*0.4)</f>
        <v>38.25</v>
      </c>
      <c r="G28" s="207">
        <v>2.04</v>
      </c>
      <c r="H28" s="207">
        <v>9.35</v>
      </c>
      <c r="I28" s="207">
        <f>H28+G28</f>
        <v>11.39</v>
      </c>
      <c r="J28" s="207">
        <f>ROUNDDOWN(F28*I28*$K$6,2)</f>
        <v>544.58</v>
      </c>
      <c r="K28" s="174">
        <f>ROUNDDOWN(J28/$J$47,4)</f>
        <v>0.0009</v>
      </c>
      <c r="L28" s="8" t="s">
        <v>194</v>
      </c>
      <c r="M28" s="153">
        <f t="shared" si="1"/>
        <v>544.584375</v>
      </c>
      <c r="N28" s="154">
        <f>M28/$J$47</f>
        <v>0.000920978</v>
      </c>
      <c r="O28" s="4"/>
      <c r="P28" s="4"/>
      <c r="Q28" s="4"/>
      <c r="R28" s="4"/>
      <c r="S28" s="4"/>
      <c r="T28" s="4"/>
      <c r="U28" s="4"/>
      <c r="V28" s="4"/>
      <c r="W28" s="4"/>
    </row>
    <row r="29" spans="1:23" s="175" customFormat="1" ht="12.75">
      <c r="A29" s="171" t="s">
        <v>81</v>
      </c>
      <c r="B29" s="171" t="s">
        <v>149</v>
      </c>
      <c r="C29" s="171">
        <v>1</v>
      </c>
      <c r="D29" s="172" t="s">
        <v>198</v>
      </c>
      <c r="E29" s="173" t="s">
        <v>73</v>
      </c>
      <c r="F29" s="173">
        <v>130</v>
      </c>
      <c r="G29" s="240">
        <f>BALAUSTRES!G19</f>
        <v>155</v>
      </c>
      <c r="H29" s="241"/>
      <c r="I29" s="207">
        <f>G29+H29</f>
        <v>155</v>
      </c>
      <c r="J29" s="207">
        <f>ROUNDDOWN(F29*I29*$K$6,2)</f>
        <v>25187.5</v>
      </c>
      <c r="K29" s="174">
        <f>ROUNDUP(J29/$J$47,4)</f>
        <v>0.0426</v>
      </c>
      <c r="L29" s="8" t="s">
        <v>194</v>
      </c>
      <c r="M29" s="153">
        <f>F29*I29*1.25</f>
        <v>25187.5</v>
      </c>
      <c r="N29" s="154">
        <f>M29/$J$47</f>
        <v>0.042596014</v>
      </c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>
      <c r="A30" s="230" t="s">
        <v>51</v>
      </c>
      <c r="B30" s="231"/>
      <c r="C30" s="231"/>
      <c r="D30" s="231"/>
      <c r="E30" s="231"/>
      <c r="F30" s="231"/>
      <c r="G30" s="231"/>
      <c r="H30" s="231"/>
      <c r="I30" s="232"/>
      <c r="J30" s="197">
        <f>SUM(J25:J29)</f>
        <v>31715.7</v>
      </c>
      <c r="K30" s="169">
        <f>ROUNDDOWN(J30/$J$47,4)</f>
        <v>0.0536</v>
      </c>
      <c r="L30" s="8"/>
      <c r="M30" s="153"/>
      <c r="N30" s="154"/>
      <c r="O30" s="4"/>
      <c r="P30" s="4"/>
      <c r="Q30" s="4"/>
      <c r="R30" s="4"/>
      <c r="S30" s="4"/>
      <c r="T30" s="4"/>
      <c r="U30" s="4"/>
      <c r="V30" s="4"/>
      <c r="W30" s="4"/>
    </row>
    <row r="31" spans="1:23" ht="3.75" customHeight="1">
      <c r="A31" s="58"/>
      <c r="B31" s="59"/>
      <c r="C31" s="59"/>
      <c r="D31" s="59"/>
      <c r="E31" s="59"/>
      <c r="F31" s="59"/>
      <c r="G31" s="208"/>
      <c r="H31" s="200"/>
      <c r="I31" s="200"/>
      <c r="J31" s="200"/>
      <c r="K31" s="159"/>
      <c r="L31" s="8"/>
      <c r="M31" s="153"/>
      <c r="N31" s="15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>
      <c r="A32" s="166">
        <v>4</v>
      </c>
      <c r="B32" s="166"/>
      <c r="C32" s="166"/>
      <c r="D32" s="167" t="s">
        <v>74</v>
      </c>
      <c r="E32" s="166"/>
      <c r="F32" s="168"/>
      <c r="G32" s="205"/>
      <c r="H32" s="197"/>
      <c r="I32" s="197"/>
      <c r="J32" s="197"/>
      <c r="K32" s="169"/>
      <c r="L32" s="8"/>
      <c r="M32" s="153"/>
      <c r="N32" s="154"/>
      <c r="O32" s="4"/>
      <c r="P32" s="4"/>
      <c r="Q32" s="4"/>
      <c r="R32" s="4"/>
      <c r="S32" s="4"/>
      <c r="T32" s="4"/>
      <c r="U32" s="4"/>
      <c r="V32" s="4"/>
      <c r="W32" s="4"/>
    </row>
    <row r="33" spans="1:23" s="175" customFormat="1" ht="12.75" customHeight="1">
      <c r="A33" s="178" t="s">
        <v>68</v>
      </c>
      <c r="B33" s="171" t="s">
        <v>46</v>
      </c>
      <c r="C33" s="180" t="s">
        <v>42</v>
      </c>
      <c r="D33" s="176" t="s">
        <v>43</v>
      </c>
      <c r="E33" s="171" t="s">
        <v>37</v>
      </c>
      <c r="F33" s="173">
        <v>104</v>
      </c>
      <c r="G33" s="207">
        <v>43.19</v>
      </c>
      <c r="H33" s="207">
        <v>10.18</v>
      </c>
      <c r="I33" s="207">
        <f>H33+G33</f>
        <v>53.37</v>
      </c>
      <c r="J33" s="207">
        <f>ROUNDDOWN(F33*I33*$K$6,2)</f>
        <v>6938.1</v>
      </c>
      <c r="K33" s="174">
        <f>ROUNDDOWN(J33/$J$47,4)</f>
        <v>0.0117</v>
      </c>
      <c r="L33" s="8" t="s">
        <v>194</v>
      </c>
      <c r="M33" s="153">
        <f t="shared" si="1"/>
        <v>6938.1</v>
      </c>
      <c r="N33" s="154">
        <f>M33/$J$47</f>
        <v>0.011733416</v>
      </c>
      <c r="O33" s="4"/>
      <c r="P33" s="4"/>
      <c r="Q33" s="4"/>
      <c r="R33" s="4"/>
      <c r="S33" s="4"/>
      <c r="T33" s="4"/>
      <c r="U33" s="4"/>
      <c r="V33" s="4"/>
      <c r="W33" s="4"/>
    </row>
    <row r="34" spans="1:23" ht="14.25" customHeight="1">
      <c r="A34" s="230" t="s">
        <v>53</v>
      </c>
      <c r="B34" s="231"/>
      <c r="C34" s="231"/>
      <c r="D34" s="231"/>
      <c r="E34" s="231"/>
      <c r="F34" s="231"/>
      <c r="G34" s="231"/>
      <c r="H34" s="231"/>
      <c r="I34" s="232"/>
      <c r="J34" s="197">
        <f>SUM(J33:J33)</f>
        <v>6938.1</v>
      </c>
      <c r="K34" s="169">
        <f>ROUNDDOWN(J34/$J$47,4)</f>
        <v>0.0117</v>
      </c>
      <c r="L34" s="8"/>
      <c r="M34" s="153"/>
      <c r="N34" s="154"/>
      <c r="O34" s="4"/>
      <c r="P34" s="4"/>
      <c r="Q34" s="4"/>
      <c r="R34" s="4"/>
      <c r="S34" s="4"/>
      <c r="T34" s="4"/>
      <c r="U34" s="4"/>
      <c r="V34" s="4"/>
      <c r="W34" s="4"/>
    </row>
    <row r="35" spans="1:23" ht="3.75" customHeight="1">
      <c r="A35" s="45"/>
      <c r="B35" s="46"/>
      <c r="C35" s="46"/>
      <c r="D35" s="46"/>
      <c r="E35" s="46"/>
      <c r="F35" s="46"/>
      <c r="G35" s="208"/>
      <c r="H35" s="200"/>
      <c r="I35" s="200"/>
      <c r="J35" s="200"/>
      <c r="K35" s="159"/>
      <c r="L35" s="8"/>
      <c r="M35" s="153"/>
      <c r="N35" s="15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>
      <c r="A36" s="166">
        <v>5</v>
      </c>
      <c r="B36" s="166"/>
      <c r="C36" s="166"/>
      <c r="D36" s="167" t="s">
        <v>88</v>
      </c>
      <c r="E36" s="166"/>
      <c r="F36" s="168"/>
      <c r="G36" s="205"/>
      <c r="H36" s="197"/>
      <c r="I36" s="197"/>
      <c r="J36" s="197"/>
      <c r="K36" s="169"/>
      <c r="L36" s="8"/>
      <c r="M36" s="153"/>
      <c r="N36" s="154"/>
      <c r="O36" s="4"/>
      <c r="P36" s="4"/>
      <c r="Q36" s="4"/>
      <c r="R36" s="4"/>
      <c r="S36" s="4"/>
      <c r="T36" s="4"/>
      <c r="U36" s="4"/>
      <c r="V36" s="4"/>
      <c r="W36" s="4"/>
    </row>
    <row r="37" spans="1:23" s="175" customFormat="1" ht="12.75" customHeight="1">
      <c r="A37" s="171" t="s">
        <v>71</v>
      </c>
      <c r="B37" s="181" t="s">
        <v>46</v>
      </c>
      <c r="C37" s="180" t="s">
        <v>89</v>
      </c>
      <c r="D37" s="172" t="s">
        <v>90</v>
      </c>
      <c r="E37" s="171" t="s">
        <v>49</v>
      </c>
      <c r="F37" s="173">
        <f>(226.54*0.45)+(226.54*0.4)</f>
        <v>192.56</v>
      </c>
      <c r="G37" s="207">
        <v>5.16</v>
      </c>
      <c r="H37" s="207">
        <v>9.98</v>
      </c>
      <c r="I37" s="207">
        <f>H37+G37</f>
        <v>15.14</v>
      </c>
      <c r="J37" s="207">
        <f>ROUNDUP(F37*I37*$K$6,2)</f>
        <v>3644.2</v>
      </c>
      <c r="K37" s="174">
        <f>ROUNDDOWN(J37/$J$47,4)</f>
        <v>0.0061</v>
      </c>
      <c r="L37" s="8" t="s">
        <v>194</v>
      </c>
      <c r="M37" s="153">
        <f t="shared" si="1"/>
        <v>3644.198</v>
      </c>
      <c r="N37" s="154">
        <f>M37/$J$47</f>
        <v>0.00616291</v>
      </c>
      <c r="O37" s="4"/>
      <c r="P37" s="4"/>
      <c r="Q37" s="4"/>
      <c r="R37" s="4"/>
      <c r="S37" s="4"/>
      <c r="T37" s="4"/>
      <c r="U37" s="4"/>
      <c r="V37" s="4"/>
      <c r="W37" s="4"/>
    </row>
    <row r="38" spans="1:23" s="175" customFormat="1" ht="12.75" customHeight="1">
      <c r="A38" s="171" t="s">
        <v>72</v>
      </c>
      <c r="B38" s="181" t="s">
        <v>46</v>
      </c>
      <c r="C38" s="180" t="s">
        <v>91</v>
      </c>
      <c r="D38" s="172" t="s">
        <v>92</v>
      </c>
      <c r="E38" s="171" t="s">
        <v>49</v>
      </c>
      <c r="F38" s="173">
        <f>(226.54*0.45)+(226.54*0.4)</f>
        <v>192.56</v>
      </c>
      <c r="G38" s="207">
        <v>10.69</v>
      </c>
      <c r="H38" s="207">
        <v>17.82</v>
      </c>
      <c r="I38" s="207">
        <f>H38+G38</f>
        <v>28.51</v>
      </c>
      <c r="J38" s="207">
        <f>ROUNDUP(F38*I38*$K$6,2)</f>
        <v>6862.36</v>
      </c>
      <c r="K38" s="174">
        <f>ROUNDDOWN(J38/$J$47,4)</f>
        <v>0.0116</v>
      </c>
      <c r="L38" s="8" t="s">
        <v>194</v>
      </c>
      <c r="M38" s="153">
        <f t="shared" si="1"/>
        <v>6862.357</v>
      </c>
      <c r="N38" s="154">
        <f>M38/$J$47</f>
        <v>0.011605322</v>
      </c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37" t="s">
        <v>70</v>
      </c>
      <c r="B39" s="238"/>
      <c r="C39" s="238"/>
      <c r="D39" s="238"/>
      <c r="E39" s="238"/>
      <c r="F39" s="238"/>
      <c r="G39" s="238"/>
      <c r="H39" s="238"/>
      <c r="I39" s="239"/>
      <c r="J39" s="201">
        <f>SUM(J37:J38)</f>
        <v>10506.56</v>
      </c>
      <c r="K39" s="169">
        <f>ROUNDDOWN(J39/$J$47,4)</f>
        <v>0.0177</v>
      </c>
      <c r="L39" s="8"/>
      <c r="M39" s="153"/>
      <c r="N39" s="154"/>
      <c r="O39" s="4"/>
      <c r="P39" s="4"/>
      <c r="Q39" s="4"/>
      <c r="R39" s="4"/>
      <c r="S39" s="4"/>
      <c r="T39" s="4"/>
      <c r="U39" s="4"/>
      <c r="V39" s="4"/>
      <c r="W39" s="4"/>
    </row>
    <row r="40" spans="1:23" ht="3.75" customHeight="1">
      <c r="A40" s="45"/>
      <c r="B40" s="46"/>
      <c r="C40" s="46"/>
      <c r="D40" s="46"/>
      <c r="E40" s="46"/>
      <c r="F40" s="46"/>
      <c r="G40" s="208"/>
      <c r="H40" s="200"/>
      <c r="I40" s="200"/>
      <c r="J40" s="200"/>
      <c r="K40" s="159"/>
      <c r="L40" s="8"/>
      <c r="M40" s="153"/>
      <c r="N40" s="15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 customHeight="1">
      <c r="A41" s="166">
        <v>6</v>
      </c>
      <c r="B41" s="166"/>
      <c r="C41" s="166"/>
      <c r="D41" s="167" t="s">
        <v>93</v>
      </c>
      <c r="E41" s="166"/>
      <c r="F41" s="168"/>
      <c r="G41" s="205"/>
      <c r="H41" s="197"/>
      <c r="I41" s="197"/>
      <c r="J41" s="197"/>
      <c r="K41" s="169"/>
      <c r="L41" s="8"/>
      <c r="M41" s="153"/>
      <c r="N41" s="154"/>
      <c r="O41" s="4"/>
      <c r="P41" s="4"/>
      <c r="Q41" s="4"/>
      <c r="R41" s="4"/>
      <c r="S41" s="4"/>
      <c r="T41" s="4"/>
      <c r="U41" s="4"/>
      <c r="V41" s="4"/>
      <c r="W41" s="4"/>
    </row>
    <row r="42" spans="1:23" s="175" customFormat="1" ht="36.75" customHeight="1">
      <c r="A42" s="171" t="s">
        <v>173</v>
      </c>
      <c r="B42" s="171" t="s">
        <v>94</v>
      </c>
      <c r="C42" s="171">
        <v>101498</v>
      </c>
      <c r="D42" s="172" t="s">
        <v>95</v>
      </c>
      <c r="E42" s="173" t="s">
        <v>73</v>
      </c>
      <c r="F42" s="173">
        <v>2</v>
      </c>
      <c r="G42" s="240">
        <v>1770.59</v>
      </c>
      <c r="H42" s="241"/>
      <c r="I42" s="207">
        <f>G42+H42</f>
        <v>1770.59</v>
      </c>
      <c r="J42" s="207">
        <f>ROUNDUP(F42*I42*$K$6,2)</f>
        <v>4426.48</v>
      </c>
      <c r="K42" s="174">
        <f>ROUNDUP(J42/$J$47,4)</f>
        <v>0.0075</v>
      </c>
      <c r="L42" s="182" t="s">
        <v>194</v>
      </c>
      <c r="M42" s="153">
        <f t="shared" si="1"/>
        <v>4426.475</v>
      </c>
      <c r="N42" s="154">
        <f>M42/$J$47</f>
        <v>0.007485864</v>
      </c>
      <c r="O42" s="4"/>
      <c r="P42" s="4"/>
      <c r="Q42" s="4"/>
      <c r="R42" s="4"/>
      <c r="S42" s="4"/>
      <c r="T42" s="4"/>
      <c r="U42" s="4"/>
      <c r="V42" s="4"/>
      <c r="W42" s="4"/>
    </row>
    <row r="43" spans="1:23" s="175" customFormat="1" ht="25.5">
      <c r="A43" s="171" t="s">
        <v>174</v>
      </c>
      <c r="B43" s="171" t="s">
        <v>46</v>
      </c>
      <c r="C43" s="171" t="s">
        <v>97</v>
      </c>
      <c r="D43" s="172" t="s">
        <v>96</v>
      </c>
      <c r="E43" s="173" t="s">
        <v>73</v>
      </c>
      <c r="F43" s="173">
        <v>2</v>
      </c>
      <c r="G43" s="207">
        <v>1447.88</v>
      </c>
      <c r="H43" s="207">
        <v>253.28</v>
      </c>
      <c r="I43" s="207">
        <f>G43+H43</f>
        <v>1701.16</v>
      </c>
      <c r="J43" s="207">
        <f>ROUNDDOWN(F43*I43*$K$6,2)</f>
        <v>4252.9</v>
      </c>
      <c r="K43" s="174">
        <f>ROUNDUP(J43/$J$47,4)</f>
        <v>0.0072</v>
      </c>
      <c r="L43" s="8" t="s">
        <v>194</v>
      </c>
      <c r="M43" s="153">
        <f t="shared" si="1"/>
        <v>4252.9</v>
      </c>
      <c r="N43" s="154">
        <f>M43/$J$47</f>
        <v>0.007192321</v>
      </c>
      <c r="O43" s="4"/>
      <c r="P43" s="4"/>
      <c r="Q43" s="4"/>
      <c r="R43" s="4"/>
      <c r="S43" s="4"/>
      <c r="T43" s="4"/>
      <c r="U43" s="4"/>
      <c r="V43" s="4"/>
      <c r="W43" s="4"/>
    </row>
    <row r="44" spans="1:23" s="175" customFormat="1" ht="25.5">
      <c r="A44" s="171" t="s">
        <v>175</v>
      </c>
      <c r="B44" s="171" t="s">
        <v>156</v>
      </c>
      <c r="C44" s="171">
        <v>1</v>
      </c>
      <c r="D44" s="172" t="s">
        <v>157</v>
      </c>
      <c r="E44" s="173" t="s">
        <v>73</v>
      </c>
      <c r="F44" s="173">
        <v>20</v>
      </c>
      <c r="G44" s="240">
        <f>'POSTE PARIS'!G55</f>
        <v>6939.73</v>
      </c>
      <c r="H44" s="241"/>
      <c r="I44" s="207">
        <f>G44+H44</f>
        <v>6939.73</v>
      </c>
      <c r="J44" s="207">
        <f>ROUNDDOWN(F44*I44*$K$6,2)</f>
        <v>173493.25</v>
      </c>
      <c r="K44" s="174">
        <f>ROUNDDOWN(J44/$J$47,4)</f>
        <v>0.2934</v>
      </c>
      <c r="L44" s="8"/>
      <c r="M44" s="153">
        <f t="shared" si="1"/>
        <v>173493.25</v>
      </c>
      <c r="N44" s="154">
        <f>M44/$J$47</f>
        <v>0.293404302</v>
      </c>
      <c r="O44" s="4"/>
      <c r="P44" s="4"/>
      <c r="Q44" s="4"/>
      <c r="R44" s="4"/>
      <c r="S44" s="4"/>
      <c r="T44" s="4"/>
      <c r="U44" s="4"/>
      <c r="V44" s="4"/>
      <c r="W44" s="4"/>
    </row>
    <row r="45" spans="1:23" ht="12.75" customHeight="1">
      <c r="A45" s="230" t="s">
        <v>176</v>
      </c>
      <c r="B45" s="231"/>
      <c r="C45" s="231"/>
      <c r="D45" s="231"/>
      <c r="E45" s="231"/>
      <c r="F45" s="231"/>
      <c r="G45" s="231"/>
      <c r="H45" s="231"/>
      <c r="I45" s="232"/>
      <c r="J45" s="197">
        <f>SUM(J42:J44)</f>
        <v>182172.63</v>
      </c>
      <c r="K45" s="169">
        <f>ROUNDUP(J45/$J$47,4)</f>
        <v>0.3081</v>
      </c>
      <c r="L45" s="8"/>
      <c r="M45" s="153"/>
      <c r="N45" s="154"/>
      <c r="O45" s="4"/>
      <c r="P45" s="4"/>
      <c r="Q45" s="4"/>
      <c r="R45" s="4"/>
      <c r="S45" s="4"/>
      <c r="T45" s="4"/>
      <c r="U45" s="4"/>
      <c r="V45" s="4"/>
      <c r="W45" s="4"/>
    </row>
    <row r="46" spans="1:23" ht="3.75" customHeight="1">
      <c r="A46" s="54"/>
      <c r="B46" s="55"/>
      <c r="C46" s="55"/>
      <c r="D46" s="55"/>
      <c r="E46" s="55"/>
      <c r="F46" s="55"/>
      <c r="G46" s="208"/>
      <c r="H46" s="200"/>
      <c r="I46" s="200"/>
      <c r="J46" s="200"/>
      <c r="K46" s="159"/>
      <c r="L46" s="8"/>
      <c r="M46" s="153"/>
      <c r="N46" s="15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customHeight="1">
      <c r="A47" s="222" t="s">
        <v>32</v>
      </c>
      <c r="B47" s="223"/>
      <c r="C47" s="223"/>
      <c r="D47" s="223"/>
      <c r="E47" s="223"/>
      <c r="F47" s="223"/>
      <c r="G47" s="223"/>
      <c r="H47" s="223"/>
      <c r="I47" s="224"/>
      <c r="J47" s="202">
        <f>J18+J22+J34+J39+J45+J30</f>
        <v>591311.2</v>
      </c>
      <c r="K47" s="170">
        <f>ROUNDDOWN(K18+K22+K34+K39+K45+K30,4)</f>
        <v>1</v>
      </c>
      <c r="L47" s="8"/>
      <c r="M47" s="153"/>
      <c r="N47" s="154"/>
      <c r="O47" s="8"/>
      <c r="P47" s="8"/>
      <c r="Q47" s="8"/>
      <c r="R47" s="8"/>
      <c r="S47" s="8"/>
      <c r="T47" s="8"/>
      <c r="U47" s="8"/>
      <c r="V47" s="8"/>
      <c r="W47" s="8"/>
    </row>
    <row r="48" spans="1:23" ht="8.25" customHeight="1">
      <c r="A48" s="60"/>
      <c r="B48" s="61"/>
      <c r="C48" s="61"/>
      <c r="D48" s="61"/>
      <c r="E48" s="61"/>
      <c r="F48" s="61"/>
      <c r="G48" s="209"/>
      <c r="H48" s="203"/>
      <c r="I48" s="203"/>
      <c r="J48" s="200"/>
      <c r="K48" s="159"/>
      <c r="L48" s="8"/>
      <c r="M48" s="153"/>
      <c r="N48" s="154"/>
      <c r="O48" s="8"/>
      <c r="P48" s="8"/>
      <c r="Q48" s="8"/>
      <c r="R48" s="8"/>
      <c r="S48" s="8"/>
      <c r="T48" s="8"/>
      <c r="U48" s="8"/>
      <c r="V48" s="8"/>
      <c r="W48" s="8"/>
    </row>
    <row r="49" spans="1:14" s="161" customFormat="1" ht="12" customHeight="1">
      <c r="A49" s="248" t="s">
        <v>180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50"/>
      <c r="L49" s="160"/>
      <c r="M49" s="165"/>
      <c r="N49" s="165"/>
    </row>
    <row r="50" spans="1:14" s="192" customFormat="1" ht="12" customHeight="1">
      <c r="A50" s="245" t="s">
        <v>181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7"/>
      <c r="L50" s="190"/>
      <c r="M50" s="191"/>
      <c r="N50" s="191"/>
    </row>
    <row r="51" spans="1:12" s="192" customFormat="1" ht="12" customHeight="1">
      <c r="A51" s="245" t="s">
        <v>182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7"/>
      <c r="L51" s="190"/>
    </row>
    <row r="52" spans="1:14" s="192" customFormat="1" ht="12" customHeight="1">
      <c r="A52" s="245" t="s">
        <v>183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7"/>
      <c r="L52" s="190"/>
      <c r="M52" s="191"/>
      <c r="N52" s="191"/>
    </row>
    <row r="53" spans="1:14" s="192" customFormat="1" ht="12" customHeight="1">
      <c r="A53" s="251" t="s">
        <v>184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3"/>
      <c r="L53" s="190"/>
      <c r="M53" s="191"/>
      <c r="N53" s="191"/>
    </row>
    <row r="54" spans="1:14" s="192" customFormat="1" ht="12" customHeight="1">
      <c r="A54" s="242" t="s">
        <v>200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4"/>
      <c r="L54" s="190"/>
      <c r="M54" s="191"/>
      <c r="N54" s="191"/>
    </row>
    <row r="55" spans="1:14" s="192" customFormat="1" ht="12" customHeight="1">
      <c r="A55" s="242" t="s">
        <v>201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4"/>
      <c r="L55" s="190"/>
      <c r="M55" s="191"/>
      <c r="N55" s="191"/>
    </row>
    <row r="56" spans="1:27" ht="15.75">
      <c r="A56" s="225" t="s">
        <v>199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163"/>
      <c r="M56" s="163"/>
      <c r="N56" s="163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ht="15.75">
      <c r="A57" s="214" t="s">
        <v>35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164"/>
      <c r="M57" s="164"/>
      <c r="N57" s="164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1.25" customHeight="1">
      <c r="A58" s="218" t="s">
        <v>190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164"/>
      <c r="M58" s="164"/>
      <c r="N58" s="16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3.5" customHeight="1">
      <c r="A59" s="219" t="s">
        <v>192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164"/>
      <c r="M59" s="164"/>
      <c r="N59" s="164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11" ht="12.75">
      <c r="A60" s="221" t="s">
        <v>191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</row>
    <row r="61" spans="1:11" ht="12.75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</row>
  </sheetData>
  <sheetProtection/>
  <mergeCells count="40">
    <mergeCell ref="G16:H16"/>
    <mergeCell ref="A49:K49"/>
    <mergeCell ref="A50:K50"/>
    <mergeCell ref="A52:K52"/>
    <mergeCell ref="A53:K53"/>
    <mergeCell ref="G42:H42"/>
    <mergeCell ref="A19:K19"/>
    <mergeCell ref="A34:I34"/>
    <mergeCell ref="A39:I39"/>
    <mergeCell ref="A30:I30"/>
    <mergeCell ref="G44:H44"/>
    <mergeCell ref="A54:K54"/>
    <mergeCell ref="G29:H29"/>
    <mergeCell ref="A51:K51"/>
    <mergeCell ref="E7:K7"/>
    <mergeCell ref="E8:K8"/>
    <mergeCell ref="A22:I22"/>
    <mergeCell ref="A18:I18"/>
    <mergeCell ref="A8:D8"/>
    <mergeCell ref="E9:G9"/>
    <mergeCell ref="J9:K9"/>
    <mergeCell ref="A7:D7"/>
    <mergeCell ref="A9:D9"/>
    <mergeCell ref="G15:H15"/>
    <mergeCell ref="B1:I1"/>
    <mergeCell ref="B2:I2"/>
    <mergeCell ref="B3:I3"/>
    <mergeCell ref="B4:I4"/>
    <mergeCell ref="B5:I5"/>
    <mergeCell ref="B6:I6"/>
    <mergeCell ref="A57:K57"/>
    <mergeCell ref="A23:K23"/>
    <mergeCell ref="A58:K58"/>
    <mergeCell ref="A61:K61"/>
    <mergeCell ref="A59:K59"/>
    <mergeCell ref="A60:K60"/>
    <mergeCell ref="A47:I47"/>
    <mergeCell ref="A56:K56"/>
    <mergeCell ref="A45:I45"/>
    <mergeCell ref="A55:K55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0" customWidth="1"/>
    <col min="2" max="2" width="12.140625" style="0" bestFit="1" customWidth="1"/>
    <col min="3" max="3" width="68.140625" style="0" bestFit="1" customWidth="1"/>
    <col min="4" max="4" width="31.28125" style="0" bestFit="1" customWidth="1"/>
    <col min="6" max="6" width="12.140625" style="0" bestFit="1" customWidth="1"/>
    <col min="7" max="7" width="12.421875" style="0" bestFit="1" customWidth="1"/>
    <col min="8" max="8" width="14.57421875" style="0" bestFit="1" customWidth="1"/>
  </cols>
  <sheetData>
    <row r="1" spans="1:8" ht="15.75">
      <c r="A1" s="254" t="s">
        <v>17</v>
      </c>
      <c r="B1" s="255"/>
      <c r="C1" s="255"/>
      <c r="D1" s="255"/>
      <c r="E1" s="255"/>
      <c r="F1" s="255"/>
      <c r="G1" s="255"/>
      <c r="H1" s="256"/>
    </row>
    <row r="2" spans="1:8" ht="15.75">
      <c r="A2" s="257" t="s">
        <v>22</v>
      </c>
      <c r="B2" s="258"/>
      <c r="C2" s="258"/>
      <c r="D2" s="258"/>
      <c r="E2" s="258"/>
      <c r="F2" s="258"/>
      <c r="G2" s="258"/>
      <c r="H2" s="259"/>
    </row>
    <row r="3" spans="1:8" ht="15.75">
      <c r="A3" s="260" t="s">
        <v>18</v>
      </c>
      <c r="B3" s="261"/>
      <c r="C3" s="261"/>
      <c r="D3" s="261"/>
      <c r="E3" s="261"/>
      <c r="F3" s="261"/>
      <c r="G3" s="261"/>
      <c r="H3" s="262"/>
    </row>
    <row r="4" spans="1:8" ht="15.75">
      <c r="A4" s="257" t="s">
        <v>19</v>
      </c>
      <c r="B4" s="258"/>
      <c r="C4" s="258"/>
      <c r="D4" s="258"/>
      <c r="E4" s="258"/>
      <c r="F4" s="258"/>
      <c r="G4" s="258"/>
      <c r="H4" s="259"/>
    </row>
    <row r="5" spans="1:8" ht="15.75">
      <c r="A5" s="257" t="s">
        <v>20</v>
      </c>
      <c r="B5" s="258"/>
      <c r="C5" s="258"/>
      <c r="D5" s="258"/>
      <c r="E5" s="258"/>
      <c r="F5" s="258"/>
      <c r="G5" s="258"/>
      <c r="H5" s="259"/>
    </row>
    <row r="6" spans="1:8" ht="15.75">
      <c r="A6" s="257" t="s">
        <v>21</v>
      </c>
      <c r="B6" s="258"/>
      <c r="C6" s="258"/>
      <c r="D6" s="258"/>
      <c r="E6" s="258"/>
      <c r="F6" s="258"/>
      <c r="G6" s="258"/>
      <c r="H6" s="259"/>
    </row>
    <row r="7" spans="1:8" ht="16.5" thickBot="1">
      <c r="A7" s="263"/>
      <c r="B7" s="264"/>
      <c r="C7" s="264"/>
      <c r="D7" s="264"/>
      <c r="E7" s="264"/>
      <c r="F7" s="264"/>
      <c r="G7" s="264"/>
      <c r="H7" s="265"/>
    </row>
    <row r="8" spans="1:8" ht="15.75">
      <c r="A8" s="266" t="s">
        <v>38</v>
      </c>
      <c r="B8" s="267"/>
      <c r="C8" s="267"/>
      <c r="D8" s="62" t="s">
        <v>100</v>
      </c>
      <c r="E8" s="63"/>
      <c r="F8" s="63"/>
      <c r="G8" s="63"/>
      <c r="H8" s="64"/>
    </row>
    <row r="9" spans="1:8" ht="15.75">
      <c r="A9" s="65" t="s">
        <v>39</v>
      </c>
      <c r="B9" s="66"/>
      <c r="C9" s="67"/>
      <c r="D9" s="67" t="s">
        <v>101</v>
      </c>
      <c r="E9" s="67"/>
      <c r="F9" s="67"/>
      <c r="G9" s="67"/>
      <c r="H9" s="68"/>
    </row>
    <row r="10" spans="1:8" ht="15.75">
      <c r="A10" s="268"/>
      <c r="B10" s="269"/>
      <c r="C10" s="269"/>
      <c r="D10" s="269"/>
      <c r="E10" s="269"/>
      <c r="F10" s="269"/>
      <c r="G10" s="269"/>
      <c r="H10" s="270"/>
    </row>
    <row r="11" spans="1:8" ht="15.75">
      <c r="A11" s="271" t="s">
        <v>185</v>
      </c>
      <c r="B11" s="272"/>
      <c r="C11" s="272"/>
      <c r="D11" s="272"/>
      <c r="E11" s="272"/>
      <c r="F11" s="272"/>
      <c r="G11" s="272"/>
      <c r="H11" s="273"/>
    </row>
    <row r="12" spans="1:8" ht="15.75">
      <c r="A12" s="69"/>
      <c r="B12" s="70"/>
      <c r="C12" s="70"/>
      <c r="D12" s="70"/>
      <c r="E12" s="70"/>
      <c r="F12" s="70"/>
      <c r="G12" s="70"/>
      <c r="H12" s="71"/>
    </row>
    <row r="13" spans="1:8" ht="15.75">
      <c r="A13" s="274" t="s">
        <v>169</v>
      </c>
      <c r="B13" s="275"/>
      <c r="C13" s="275"/>
      <c r="D13" s="275"/>
      <c r="E13" s="275"/>
      <c r="F13" s="275"/>
      <c r="G13" s="275"/>
      <c r="H13" s="276"/>
    </row>
    <row r="14" spans="1:8" ht="15.75">
      <c r="A14" s="72"/>
      <c r="B14" s="73"/>
      <c r="C14" s="74"/>
      <c r="D14" s="75"/>
      <c r="E14" s="75"/>
      <c r="F14" s="75"/>
      <c r="G14" s="75"/>
      <c r="H14" s="76"/>
    </row>
    <row r="15" spans="1:8" ht="47.25">
      <c r="A15" s="77" t="s">
        <v>11</v>
      </c>
      <c r="B15" s="277" t="s">
        <v>102</v>
      </c>
      <c r="C15" s="277"/>
      <c r="D15" s="78" t="s">
        <v>103</v>
      </c>
      <c r="E15" s="78" t="s">
        <v>104</v>
      </c>
      <c r="F15" s="78" t="s">
        <v>105</v>
      </c>
      <c r="G15" s="78" t="s">
        <v>106</v>
      </c>
      <c r="H15" s="78" t="s">
        <v>107</v>
      </c>
    </row>
    <row r="16" spans="1:8" s="151" customFormat="1" ht="15.75">
      <c r="A16" s="147">
        <v>1</v>
      </c>
      <c r="B16" s="281" t="s">
        <v>165</v>
      </c>
      <c r="C16" s="281"/>
      <c r="D16" s="148" t="s">
        <v>166</v>
      </c>
      <c r="E16" s="149">
        <v>130</v>
      </c>
      <c r="F16" s="149" t="s">
        <v>73</v>
      </c>
      <c r="G16" s="150">
        <v>150</v>
      </c>
      <c r="H16" s="150">
        <f>E16*G16</f>
        <v>19500</v>
      </c>
    </row>
    <row r="17" spans="1:8" s="151" customFormat="1" ht="15.75">
      <c r="A17" s="147">
        <v>2</v>
      </c>
      <c r="B17" s="281" t="s">
        <v>167</v>
      </c>
      <c r="C17" s="281"/>
      <c r="D17" s="148" t="s">
        <v>168</v>
      </c>
      <c r="E17" s="149">
        <v>130</v>
      </c>
      <c r="F17" s="149" t="s">
        <v>73</v>
      </c>
      <c r="G17" s="150">
        <v>185</v>
      </c>
      <c r="H17" s="150">
        <f>E17*G17</f>
        <v>24050</v>
      </c>
    </row>
    <row r="18" spans="1:8" s="151" customFormat="1" ht="15.75">
      <c r="A18" s="147">
        <v>3</v>
      </c>
      <c r="B18" s="281" t="s">
        <v>178</v>
      </c>
      <c r="C18" s="281"/>
      <c r="D18" s="148" t="s">
        <v>179</v>
      </c>
      <c r="E18" s="149">
        <v>130</v>
      </c>
      <c r="F18" s="149" t="s">
        <v>73</v>
      </c>
      <c r="G18" s="150">
        <v>130</v>
      </c>
      <c r="H18" s="150">
        <f>E18*G18</f>
        <v>16900</v>
      </c>
    </row>
    <row r="19" spans="1:8" ht="15.75">
      <c r="A19" s="282" t="s">
        <v>108</v>
      </c>
      <c r="B19" s="282"/>
      <c r="C19" s="282"/>
      <c r="D19" s="283"/>
      <c r="E19" s="81">
        <v>130</v>
      </c>
      <c r="F19" s="81" t="s">
        <v>73</v>
      </c>
      <c r="G19" s="82">
        <f>(G16+G17+G18)/3</f>
        <v>155</v>
      </c>
      <c r="H19" s="83">
        <f>E19*G19</f>
        <v>20150</v>
      </c>
    </row>
    <row r="20" spans="1:8" ht="15.75">
      <c r="A20" s="284"/>
      <c r="B20" s="284"/>
      <c r="C20" s="284"/>
      <c r="D20" s="284"/>
      <c r="E20" s="84"/>
      <c r="F20" s="84"/>
      <c r="G20" s="84"/>
      <c r="H20" s="85"/>
    </row>
    <row r="21" spans="1:8" ht="15.75">
      <c r="A21" s="134"/>
      <c r="B21" s="134"/>
      <c r="C21" s="134"/>
      <c r="D21" s="134"/>
      <c r="E21" s="134"/>
      <c r="F21" s="134"/>
      <c r="G21" s="134"/>
      <c r="H21" s="146"/>
    </row>
    <row r="22" spans="1:8" ht="15.75">
      <c r="A22" s="134"/>
      <c r="B22" s="134"/>
      <c r="C22" s="134"/>
      <c r="D22" s="134"/>
      <c r="E22" s="134"/>
      <c r="F22" s="134"/>
      <c r="G22" s="134"/>
      <c r="H22" s="146"/>
    </row>
    <row r="23" spans="1:8" ht="15.75">
      <c r="A23" s="134"/>
      <c r="B23" s="134"/>
      <c r="C23" s="134"/>
      <c r="D23" s="134"/>
      <c r="E23" s="134"/>
      <c r="F23" s="134"/>
      <c r="G23" s="134"/>
      <c r="H23" s="146"/>
    </row>
    <row r="24" spans="1:8" ht="15.75">
      <c r="A24" s="134"/>
      <c r="B24" s="134"/>
      <c r="C24" s="134"/>
      <c r="D24" s="134"/>
      <c r="E24" s="134"/>
      <c r="F24" s="134"/>
      <c r="G24" s="134"/>
      <c r="H24" s="146"/>
    </row>
    <row r="25" spans="1:8" ht="15.75">
      <c r="A25" s="278" t="s">
        <v>155</v>
      </c>
      <c r="B25" s="278"/>
      <c r="C25" s="278"/>
      <c r="D25" s="278"/>
      <c r="E25" s="278"/>
      <c r="F25" s="278"/>
      <c r="G25" s="278"/>
      <c r="H25" s="278"/>
    </row>
    <row r="26" spans="1:8" ht="15.75">
      <c r="A26" s="279" t="str">
        <f>ORÇAMENTO!A58</f>
        <v>Bianca Oliveira da Silva</v>
      </c>
      <c r="B26" s="279"/>
      <c r="C26" s="279"/>
      <c r="D26" s="279"/>
      <c r="E26" s="279"/>
      <c r="F26" s="279"/>
      <c r="G26" s="279"/>
      <c r="H26" s="279"/>
    </row>
    <row r="27" spans="1:8" ht="15.75">
      <c r="A27" s="278" t="str">
        <f>ORÇAMENTO!A59</f>
        <v>Engenheira Civil </v>
      </c>
      <c r="B27" s="278"/>
      <c r="C27" s="278"/>
      <c r="D27" s="278"/>
      <c r="E27" s="278"/>
      <c r="F27" s="278"/>
      <c r="G27" s="278"/>
      <c r="H27" s="278"/>
    </row>
    <row r="28" spans="1:8" ht="12.75">
      <c r="A28" s="280" t="str">
        <f>ORÇAMENTO!A60</f>
        <v>CREA nº 5070438158-SP</v>
      </c>
      <c r="B28" s="280"/>
      <c r="C28" s="280"/>
      <c r="D28" s="280"/>
      <c r="E28" s="280"/>
      <c r="F28" s="280"/>
      <c r="G28" s="280"/>
      <c r="H28" s="280"/>
    </row>
  </sheetData>
  <sheetProtection/>
  <mergeCells count="21">
    <mergeCell ref="A25:H25"/>
    <mergeCell ref="A26:H26"/>
    <mergeCell ref="A27:H27"/>
    <mergeCell ref="A28:H28"/>
    <mergeCell ref="B16:C16"/>
    <mergeCell ref="B17:C17"/>
    <mergeCell ref="B18:C18"/>
    <mergeCell ref="A19:D19"/>
    <mergeCell ref="A20:D20"/>
    <mergeCell ref="A7:H7"/>
    <mergeCell ref="A8:C8"/>
    <mergeCell ref="A10:H10"/>
    <mergeCell ref="A11:H11"/>
    <mergeCell ref="A13:H13"/>
    <mergeCell ref="B15:C15"/>
    <mergeCell ref="A1:H1"/>
    <mergeCell ref="A2:H2"/>
    <mergeCell ref="A3:H3"/>
    <mergeCell ref="A4:H4"/>
    <mergeCell ref="A5:H5"/>
    <mergeCell ref="A6:H6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120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="70" zoomScaleNormal="70" zoomScalePageLayoutView="0" workbookViewId="0" topLeftCell="A13">
      <selection activeCell="C12" sqref="C12"/>
    </sheetView>
  </sheetViews>
  <sheetFormatPr defaultColWidth="9.140625" defaultRowHeight="12.75"/>
  <cols>
    <col min="1" max="1" width="21.8515625" style="0" customWidth="1"/>
    <col min="2" max="2" width="12.140625" style="0" bestFit="1" customWidth="1"/>
    <col min="3" max="3" width="71.140625" style="0" customWidth="1"/>
    <col min="4" max="4" width="24.57421875" style="0" customWidth="1"/>
    <col min="6" max="7" width="16.421875" style="0" bestFit="1" customWidth="1"/>
    <col min="8" max="8" width="18.140625" style="0" bestFit="1" customWidth="1"/>
  </cols>
  <sheetData>
    <row r="1" spans="1:8" ht="15.75">
      <c r="A1" s="254" t="s">
        <v>17</v>
      </c>
      <c r="B1" s="255"/>
      <c r="C1" s="255"/>
      <c r="D1" s="255"/>
      <c r="E1" s="255"/>
      <c r="F1" s="255"/>
      <c r="G1" s="255"/>
      <c r="H1" s="256"/>
    </row>
    <row r="2" spans="1:8" ht="15.75">
      <c r="A2" s="257" t="s">
        <v>22</v>
      </c>
      <c r="B2" s="258"/>
      <c r="C2" s="258"/>
      <c r="D2" s="258"/>
      <c r="E2" s="258"/>
      <c r="F2" s="258"/>
      <c r="G2" s="258"/>
      <c r="H2" s="259"/>
    </row>
    <row r="3" spans="1:8" ht="15.75">
      <c r="A3" s="260" t="s">
        <v>18</v>
      </c>
      <c r="B3" s="261"/>
      <c r="C3" s="261"/>
      <c r="D3" s="261"/>
      <c r="E3" s="261"/>
      <c r="F3" s="261"/>
      <c r="G3" s="261"/>
      <c r="H3" s="262"/>
    </row>
    <row r="4" spans="1:8" ht="15.75">
      <c r="A4" s="257" t="s">
        <v>19</v>
      </c>
      <c r="B4" s="258"/>
      <c r="C4" s="258"/>
      <c r="D4" s="258"/>
      <c r="E4" s="258"/>
      <c r="F4" s="258"/>
      <c r="G4" s="258"/>
      <c r="H4" s="259"/>
    </row>
    <row r="5" spans="1:8" ht="15.75">
      <c r="A5" s="257" t="s">
        <v>20</v>
      </c>
      <c r="B5" s="258"/>
      <c r="C5" s="258"/>
      <c r="D5" s="258"/>
      <c r="E5" s="258"/>
      <c r="F5" s="258"/>
      <c r="G5" s="258"/>
      <c r="H5" s="259"/>
    </row>
    <row r="6" spans="1:8" ht="15.75">
      <c r="A6" s="257" t="s">
        <v>21</v>
      </c>
      <c r="B6" s="258"/>
      <c r="C6" s="258"/>
      <c r="D6" s="258"/>
      <c r="E6" s="258"/>
      <c r="F6" s="258"/>
      <c r="G6" s="258"/>
      <c r="H6" s="259"/>
    </row>
    <row r="7" spans="1:8" ht="16.5" thickBot="1">
      <c r="A7" s="263"/>
      <c r="B7" s="264"/>
      <c r="C7" s="264"/>
      <c r="D7" s="264"/>
      <c r="E7" s="264"/>
      <c r="F7" s="264"/>
      <c r="G7" s="264"/>
      <c r="H7" s="265"/>
    </row>
    <row r="8" spans="1:8" ht="15.75">
      <c r="A8" s="266" t="s">
        <v>38</v>
      </c>
      <c r="B8" s="267"/>
      <c r="C8" s="267"/>
      <c r="D8" s="62" t="s">
        <v>100</v>
      </c>
      <c r="E8" s="63"/>
      <c r="F8" s="63"/>
      <c r="G8" s="63"/>
      <c r="H8" s="64"/>
    </row>
    <row r="9" spans="1:8" ht="15.75">
      <c r="A9" s="65" t="s">
        <v>39</v>
      </c>
      <c r="B9" s="66"/>
      <c r="C9" s="67"/>
      <c r="D9" s="67" t="s">
        <v>101</v>
      </c>
      <c r="E9" s="67"/>
      <c r="F9" s="67"/>
      <c r="G9" s="67"/>
      <c r="H9" s="68"/>
    </row>
    <row r="10" spans="1:8" ht="15.75">
      <c r="A10" s="268"/>
      <c r="B10" s="269"/>
      <c r="C10" s="269"/>
      <c r="D10" s="269"/>
      <c r="E10" s="269"/>
      <c r="F10" s="269"/>
      <c r="G10" s="269"/>
      <c r="H10" s="270"/>
    </row>
    <row r="11" spans="1:8" ht="15.75">
      <c r="A11" s="271" t="s">
        <v>186</v>
      </c>
      <c r="B11" s="272"/>
      <c r="C11" s="272"/>
      <c r="D11" s="272"/>
      <c r="E11" s="272"/>
      <c r="F11" s="272"/>
      <c r="G11" s="272"/>
      <c r="H11" s="273"/>
    </row>
    <row r="12" spans="1:8" ht="15.75">
      <c r="A12" s="69"/>
      <c r="B12" s="70"/>
      <c r="C12" s="70"/>
      <c r="D12" s="70"/>
      <c r="E12" s="70"/>
      <c r="F12" s="70"/>
      <c r="G12" s="70"/>
      <c r="H12" s="71"/>
    </row>
    <row r="13" spans="1:8" ht="15.75">
      <c r="A13" s="274" t="s">
        <v>158</v>
      </c>
      <c r="B13" s="275"/>
      <c r="C13" s="275"/>
      <c r="D13" s="275"/>
      <c r="E13" s="275"/>
      <c r="F13" s="275"/>
      <c r="G13" s="275"/>
      <c r="H13" s="276"/>
    </row>
    <row r="14" spans="1:8" ht="15.75">
      <c r="A14" s="72"/>
      <c r="B14" s="73"/>
      <c r="C14" s="74"/>
      <c r="D14" s="75"/>
      <c r="E14" s="75"/>
      <c r="F14" s="75"/>
      <c r="G14" s="75"/>
      <c r="H14" s="76"/>
    </row>
    <row r="15" spans="1:8" ht="31.5">
      <c r="A15" s="77" t="s">
        <v>11</v>
      </c>
      <c r="B15" s="277" t="s">
        <v>102</v>
      </c>
      <c r="C15" s="277"/>
      <c r="D15" s="78" t="s">
        <v>103</v>
      </c>
      <c r="E15" s="78" t="s">
        <v>104</v>
      </c>
      <c r="F15" s="78" t="s">
        <v>105</v>
      </c>
      <c r="G15" s="78" t="s">
        <v>106</v>
      </c>
      <c r="H15" s="78" t="s">
        <v>107</v>
      </c>
    </row>
    <row r="16" spans="1:8" s="151" customFormat="1" ht="15.75">
      <c r="A16" s="147">
        <v>1</v>
      </c>
      <c r="B16" s="281" t="s">
        <v>159</v>
      </c>
      <c r="C16" s="281"/>
      <c r="D16" s="148" t="s">
        <v>160</v>
      </c>
      <c r="E16" s="149">
        <v>20</v>
      </c>
      <c r="F16" s="149" t="s">
        <v>73</v>
      </c>
      <c r="G16" s="150">
        <v>5930</v>
      </c>
      <c r="H16" s="150">
        <f>E16*G16</f>
        <v>118600</v>
      </c>
    </row>
    <row r="17" spans="1:8" s="151" customFormat="1" ht="15.75">
      <c r="A17" s="147">
        <v>2</v>
      </c>
      <c r="B17" s="281" t="s">
        <v>162</v>
      </c>
      <c r="C17" s="281"/>
      <c r="D17" s="148" t="s">
        <v>161</v>
      </c>
      <c r="E17" s="149">
        <v>20</v>
      </c>
      <c r="F17" s="149" t="s">
        <v>73</v>
      </c>
      <c r="G17" s="150">
        <v>6590</v>
      </c>
      <c r="H17" s="150">
        <f>E17*G17</f>
        <v>131800</v>
      </c>
    </row>
    <row r="18" spans="1:8" s="151" customFormat="1" ht="15.75">
      <c r="A18" s="147">
        <v>3</v>
      </c>
      <c r="B18" s="281" t="s">
        <v>163</v>
      </c>
      <c r="C18" s="281"/>
      <c r="D18" s="148" t="s">
        <v>164</v>
      </c>
      <c r="E18" s="149">
        <v>20</v>
      </c>
      <c r="F18" s="149" t="s">
        <v>73</v>
      </c>
      <c r="G18" s="150">
        <v>6968</v>
      </c>
      <c r="H18" s="150">
        <f>E18*G18</f>
        <v>139360</v>
      </c>
    </row>
    <row r="19" spans="1:8" ht="15.75">
      <c r="A19" s="282" t="s">
        <v>108</v>
      </c>
      <c r="B19" s="282"/>
      <c r="C19" s="282"/>
      <c r="D19" s="283"/>
      <c r="E19" s="81">
        <v>20</v>
      </c>
      <c r="F19" s="81" t="s">
        <v>73</v>
      </c>
      <c r="G19" s="82">
        <f>(G16+G17+G18)/3</f>
        <v>6496</v>
      </c>
      <c r="H19" s="83">
        <f>E19*G19</f>
        <v>129920</v>
      </c>
    </row>
    <row r="20" spans="1:8" ht="15.75">
      <c r="A20" s="284"/>
      <c r="B20" s="284"/>
      <c r="C20" s="284"/>
      <c r="D20" s="284"/>
      <c r="E20" s="84"/>
      <c r="F20" s="84"/>
      <c r="G20" s="84"/>
      <c r="H20" s="85"/>
    </row>
    <row r="21" spans="1:8" ht="15.75">
      <c r="A21" s="86"/>
      <c r="B21" s="87"/>
      <c r="C21" s="87"/>
      <c r="D21" s="87"/>
      <c r="E21" s="87"/>
      <c r="F21" s="87"/>
      <c r="G21" s="88"/>
      <c r="H21" s="89"/>
    </row>
    <row r="22" spans="1:8" ht="15.75">
      <c r="A22" s="271" t="s">
        <v>187</v>
      </c>
      <c r="B22" s="272"/>
      <c r="C22" s="272"/>
      <c r="D22" s="272"/>
      <c r="E22" s="272"/>
      <c r="F22" s="272"/>
      <c r="G22" s="273"/>
      <c r="H22" s="90"/>
    </row>
    <row r="23" spans="1:8" ht="15.75">
      <c r="A23" s="69"/>
      <c r="B23" s="70"/>
      <c r="C23" s="70"/>
      <c r="D23" s="70"/>
      <c r="E23" s="70"/>
      <c r="F23" s="70"/>
      <c r="G23" s="71"/>
      <c r="H23" s="91"/>
    </row>
    <row r="24" spans="1:8" ht="15.75">
      <c r="A24" s="285" t="s">
        <v>188</v>
      </c>
      <c r="B24" s="286"/>
      <c r="C24" s="286"/>
      <c r="D24" s="286"/>
      <c r="E24" s="286"/>
      <c r="F24" s="286"/>
      <c r="G24" s="287"/>
      <c r="H24" s="92"/>
    </row>
    <row r="25" spans="1:8" ht="15.75">
      <c r="A25" s="93"/>
      <c r="B25" s="94"/>
      <c r="C25" s="94"/>
      <c r="D25" s="94"/>
      <c r="E25" s="94"/>
      <c r="F25" s="94"/>
      <c r="G25" s="95"/>
      <c r="H25" s="96"/>
    </row>
    <row r="26" spans="1:8" ht="15.75">
      <c r="A26" s="97" t="s">
        <v>109</v>
      </c>
      <c r="B26" s="98"/>
      <c r="C26" s="98"/>
      <c r="D26" s="98"/>
      <c r="E26" s="98"/>
      <c r="F26" s="98"/>
      <c r="G26" s="99"/>
      <c r="H26" s="90"/>
    </row>
    <row r="27" spans="1:8" ht="31.5">
      <c r="A27" s="100" t="s">
        <v>25</v>
      </c>
      <c r="B27" s="101" t="s">
        <v>23</v>
      </c>
      <c r="C27" s="101" t="s">
        <v>110</v>
      </c>
      <c r="D27" s="101" t="s">
        <v>105</v>
      </c>
      <c r="E27" s="101" t="s">
        <v>104</v>
      </c>
      <c r="F27" s="102" t="s">
        <v>106</v>
      </c>
      <c r="G27" s="102" t="s">
        <v>107</v>
      </c>
      <c r="H27" s="103"/>
    </row>
    <row r="28" spans="1:8" ht="15.75">
      <c r="A28" s="105" t="s">
        <v>111</v>
      </c>
      <c r="B28" s="105" t="s">
        <v>46</v>
      </c>
      <c r="C28" s="104" t="s">
        <v>112</v>
      </c>
      <c r="D28" s="105" t="s">
        <v>113</v>
      </c>
      <c r="E28" s="106">
        <v>1</v>
      </c>
      <c r="F28" s="107">
        <v>10.38</v>
      </c>
      <c r="G28" s="107">
        <f aca="true" t="shared" si="0" ref="G28:G33">E28*F28</f>
        <v>10.38</v>
      </c>
      <c r="H28" s="108"/>
    </row>
    <row r="29" spans="1:8" ht="15.75">
      <c r="A29" s="105" t="s">
        <v>114</v>
      </c>
      <c r="B29" s="105" t="s">
        <v>46</v>
      </c>
      <c r="C29" s="104" t="s">
        <v>115</v>
      </c>
      <c r="D29" s="105" t="s">
        <v>113</v>
      </c>
      <c r="E29" s="106">
        <v>1</v>
      </c>
      <c r="F29" s="107">
        <v>8.53</v>
      </c>
      <c r="G29" s="107">
        <f t="shared" si="0"/>
        <v>8.53</v>
      </c>
      <c r="H29" s="108"/>
    </row>
    <row r="30" spans="1:8" ht="15.75">
      <c r="A30" s="105" t="s">
        <v>116</v>
      </c>
      <c r="B30" s="105" t="s">
        <v>46</v>
      </c>
      <c r="C30" s="104" t="s">
        <v>117</v>
      </c>
      <c r="D30" s="105" t="s">
        <v>113</v>
      </c>
      <c r="E30" s="106">
        <v>2</v>
      </c>
      <c r="F30" s="107">
        <v>12.44</v>
      </c>
      <c r="G30" s="107">
        <f t="shared" si="0"/>
        <v>24.88</v>
      </c>
      <c r="H30" s="108"/>
    </row>
    <row r="31" spans="1:8" ht="15.75">
      <c r="A31" s="105" t="s">
        <v>118</v>
      </c>
      <c r="B31" s="105" t="s">
        <v>46</v>
      </c>
      <c r="C31" s="104" t="s">
        <v>119</v>
      </c>
      <c r="D31" s="105" t="s">
        <v>113</v>
      </c>
      <c r="E31" s="106">
        <v>2</v>
      </c>
      <c r="F31" s="107">
        <v>8.53</v>
      </c>
      <c r="G31" s="107">
        <f t="shared" si="0"/>
        <v>17.06</v>
      </c>
      <c r="H31" s="108"/>
    </row>
    <row r="32" spans="1:8" ht="15.75">
      <c r="A32" s="105" t="s">
        <v>120</v>
      </c>
      <c r="B32" s="105" t="s">
        <v>46</v>
      </c>
      <c r="C32" s="104" t="s">
        <v>121</v>
      </c>
      <c r="D32" s="105" t="s">
        <v>113</v>
      </c>
      <c r="E32" s="106">
        <v>1</v>
      </c>
      <c r="F32" s="107">
        <v>10.38</v>
      </c>
      <c r="G32" s="107">
        <f t="shared" si="0"/>
        <v>10.38</v>
      </c>
      <c r="H32" s="108"/>
    </row>
    <row r="33" spans="1:8" ht="15.75">
      <c r="A33" s="110" t="s">
        <v>122</v>
      </c>
      <c r="B33" s="105" t="s">
        <v>46</v>
      </c>
      <c r="C33" s="109" t="s">
        <v>123</v>
      </c>
      <c r="D33" s="110" t="s">
        <v>113</v>
      </c>
      <c r="E33" s="111">
        <v>1</v>
      </c>
      <c r="F33" s="112">
        <v>8.53</v>
      </c>
      <c r="G33" s="112">
        <f t="shared" si="0"/>
        <v>8.53</v>
      </c>
      <c r="H33" s="108"/>
    </row>
    <row r="34" spans="1:8" ht="15.75">
      <c r="A34" s="113" t="s">
        <v>124</v>
      </c>
      <c r="B34" s="114"/>
      <c r="C34" s="114"/>
      <c r="D34" s="114"/>
      <c r="E34" s="114"/>
      <c r="F34" s="114"/>
      <c r="G34" s="115">
        <f>SUM(G28:G33)</f>
        <v>79.76</v>
      </c>
      <c r="H34" s="116"/>
    </row>
    <row r="35" spans="1:8" ht="15.75">
      <c r="A35" s="117"/>
      <c r="B35" s="118"/>
      <c r="C35" s="118"/>
      <c r="D35" s="118"/>
      <c r="E35" s="118"/>
      <c r="F35" s="118"/>
      <c r="G35" s="119"/>
      <c r="H35" s="120"/>
    </row>
    <row r="36" spans="1:8" ht="15.75">
      <c r="A36" s="97" t="s">
        <v>125</v>
      </c>
      <c r="B36" s="98"/>
      <c r="C36" s="98"/>
      <c r="D36" s="98"/>
      <c r="E36" s="98"/>
      <c r="F36" s="98"/>
      <c r="G36" s="99"/>
      <c r="H36" s="90"/>
    </row>
    <row r="37" spans="1:8" ht="15.75">
      <c r="A37" s="105" t="s">
        <v>126</v>
      </c>
      <c r="B37" s="105" t="s">
        <v>46</v>
      </c>
      <c r="C37" s="104" t="s">
        <v>127</v>
      </c>
      <c r="D37" s="105" t="s">
        <v>52</v>
      </c>
      <c r="E37" s="106">
        <v>0.05</v>
      </c>
      <c r="F37" s="107">
        <v>145.49</v>
      </c>
      <c r="G37" s="107">
        <f>ROUNDDOWN(E37*F37,2)</f>
        <v>7.27</v>
      </c>
      <c r="H37" s="108"/>
    </row>
    <row r="38" spans="1:8" ht="15.75">
      <c r="A38" s="105" t="s">
        <v>128</v>
      </c>
      <c r="B38" s="105" t="s">
        <v>46</v>
      </c>
      <c r="C38" s="104" t="s">
        <v>129</v>
      </c>
      <c r="D38" s="105" t="s">
        <v>130</v>
      </c>
      <c r="E38" s="106">
        <v>23</v>
      </c>
      <c r="F38" s="107">
        <v>0.69</v>
      </c>
      <c r="G38" s="107">
        <f>ROUNDUP(E38*F38,2)</f>
        <v>15.87</v>
      </c>
      <c r="H38" s="108"/>
    </row>
    <row r="39" spans="1:8" ht="15.75">
      <c r="A39" s="105" t="s">
        <v>131</v>
      </c>
      <c r="B39" s="105" t="s">
        <v>46</v>
      </c>
      <c r="C39" s="104" t="s">
        <v>132</v>
      </c>
      <c r="D39" s="105" t="s">
        <v>52</v>
      </c>
      <c r="E39" s="106">
        <v>0.1</v>
      </c>
      <c r="F39" s="107">
        <v>116.94</v>
      </c>
      <c r="G39" s="107">
        <f>ROUNDUP(E39*F39,2)</f>
        <v>11.7</v>
      </c>
      <c r="H39" s="108"/>
    </row>
    <row r="40" spans="1:8" ht="15.75">
      <c r="A40" s="105" t="s">
        <v>133</v>
      </c>
      <c r="B40" s="105" t="s">
        <v>134</v>
      </c>
      <c r="C40" s="104" t="s">
        <v>135</v>
      </c>
      <c r="D40" s="105" t="s">
        <v>49</v>
      </c>
      <c r="E40" s="106">
        <v>0.14</v>
      </c>
      <c r="F40" s="107">
        <v>55.22</v>
      </c>
      <c r="G40" s="107">
        <f aca="true" t="shared" si="1" ref="G40:G47">ROUNDDOWN(E40*F40,2)</f>
        <v>7.73</v>
      </c>
      <c r="H40" s="108"/>
    </row>
    <row r="41" spans="1:8" ht="15.75">
      <c r="A41" s="105" t="s">
        <v>136</v>
      </c>
      <c r="B41" s="105" t="s">
        <v>134</v>
      </c>
      <c r="C41" s="104" t="s">
        <v>137</v>
      </c>
      <c r="D41" s="105" t="s">
        <v>49</v>
      </c>
      <c r="E41" s="106">
        <v>0.46</v>
      </c>
      <c r="F41" s="107">
        <v>26.59</v>
      </c>
      <c r="G41" s="107">
        <f t="shared" si="1"/>
        <v>12.23</v>
      </c>
      <c r="H41" s="108"/>
    </row>
    <row r="42" spans="1:8" ht="15.75">
      <c r="A42" s="105" t="s">
        <v>138</v>
      </c>
      <c r="B42" s="105" t="s">
        <v>46</v>
      </c>
      <c r="C42" s="104" t="s">
        <v>139</v>
      </c>
      <c r="D42" s="105" t="s">
        <v>37</v>
      </c>
      <c r="E42" s="162">
        <v>9</v>
      </c>
      <c r="F42" s="107">
        <v>2.43</v>
      </c>
      <c r="G42" s="107">
        <f t="shared" si="1"/>
        <v>21.87</v>
      </c>
      <c r="H42" s="108"/>
    </row>
    <row r="43" spans="1:8" ht="15.75">
      <c r="A43" s="105" t="s">
        <v>140</v>
      </c>
      <c r="B43" s="105" t="s">
        <v>46</v>
      </c>
      <c r="C43" s="104" t="s">
        <v>141</v>
      </c>
      <c r="D43" s="105" t="s">
        <v>73</v>
      </c>
      <c r="E43" s="106">
        <v>1</v>
      </c>
      <c r="F43" s="107">
        <v>78.72</v>
      </c>
      <c r="G43" s="107">
        <f t="shared" si="1"/>
        <v>78.72</v>
      </c>
      <c r="H43" s="108"/>
    </row>
    <row r="44" spans="1:8" ht="15.75">
      <c r="A44" s="105" t="s">
        <v>142</v>
      </c>
      <c r="B44" s="105" t="s">
        <v>46</v>
      </c>
      <c r="C44" s="104" t="s">
        <v>143</v>
      </c>
      <c r="D44" s="105" t="s">
        <v>73</v>
      </c>
      <c r="E44" s="106">
        <v>1</v>
      </c>
      <c r="F44" s="107">
        <v>37.06</v>
      </c>
      <c r="G44" s="107">
        <f t="shared" si="1"/>
        <v>37.06</v>
      </c>
      <c r="H44" s="108"/>
    </row>
    <row r="45" spans="1:8" ht="15.75">
      <c r="A45" s="142" t="s">
        <v>144</v>
      </c>
      <c r="B45" s="121" t="s">
        <v>46</v>
      </c>
      <c r="C45" s="122" t="s">
        <v>145</v>
      </c>
      <c r="D45" s="105" t="s">
        <v>73</v>
      </c>
      <c r="E45" s="106">
        <v>1</v>
      </c>
      <c r="F45" s="123">
        <v>74.22</v>
      </c>
      <c r="G45" s="107">
        <f t="shared" si="1"/>
        <v>74.22</v>
      </c>
      <c r="H45" s="108"/>
    </row>
    <row r="46" spans="1:8" ht="15.75">
      <c r="A46" s="142" t="s">
        <v>146</v>
      </c>
      <c r="B46" s="121" t="s">
        <v>46</v>
      </c>
      <c r="C46" s="122" t="s">
        <v>147</v>
      </c>
      <c r="D46" s="105" t="s">
        <v>73</v>
      </c>
      <c r="E46" s="106">
        <v>4</v>
      </c>
      <c r="F46" s="123">
        <v>4.83</v>
      </c>
      <c r="G46" s="107">
        <f t="shared" si="1"/>
        <v>19.32</v>
      </c>
      <c r="H46" s="108"/>
    </row>
    <row r="47" spans="1:8" ht="18.75" customHeight="1">
      <c r="A47" s="124" t="s">
        <v>148</v>
      </c>
      <c r="B47" s="124" t="s">
        <v>149</v>
      </c>
      <c r="C47" s="125" t="s">
        <v>157</v>
      </c>
      <c r="D47" s="79" t="s">
        <v>73</v>
      </c>
      <c r="E47" s="126">
        <v>1</v>
      </c>
      <c r="F47" s="127">
        <f>G19</f>
        <v>6496</v>
      </c>
      <c r="G47" s="80">
        <f t="shared" si="1"/>
        <v>6496</v>
      </c>
      <c r="H47" s="128"/>
    </row>
    <row r="48" spans="1:8" ht="15.75">
      <c r="A48" s="288" t="s">
        <v>150</v>
      </c>
      <c r="B48" s="289"/>
      <c r="C48" s="289"/>
      <c r="D48" s="289"/>
      <c r="E48" s="289"/>
      <c r="F48" s="289"/>
      <c r="G48" s="129">
        <f>ROUNDDOWN(SUM(G37:G47),2)</f>
        <v>6781.99</v>
      </c>
      <c r="H48" s="130"/>
    </row>
    <row r="49" spans="1:8" ht="15.75">
      <c r="A49" s="131"/>
      <c r="B49" s="131"/>
      <c r="C49" s="132"/>
      <c r="D49" s="131"/>
      <c r="E49" s="132"/>
      <c r="F49" s="132"/>
      <c r="G49" s="132"/>
      <c r="H49" s="133"/>
    </row>
    <row r="50" spans="1:8" ht="15.75">
      <c r="A50" s="134"/>
      <c r="B50" s="134"/>
      <c r="C50" s="135"/>
      <c r="D50" s="131"/>
      <c r="E50" s="131"/>
      <c r="F50" s="132"/>
      <c r="G50" s="136"/>
      <c r="H50" s="137"/>
    </row>
    <row r="51" spans="1:8" ht="15.75">
      <c r="A51" s="134"/>
      <c r="B51" s="134"/>
      <c r="C51" s="135"/>
      <c r="D51" s="290" t="s">
        <v>151</v>
      </c>
      <c r="E51" s="291"/>
      <c r="F51" s="292"/>
      <c r="G51" s="138">
        <f>G34</f>
        <v>79.76</v>
      </c>
      <c r="H51" s="139"/>
    </row>
    <row r="52" spans="1:8" ht="15.75">
      <c r="A52" s="134"/>
      <c r="B52" s="134"/>
      <c r="C52" s="135"/>
      <c r="D52" s="293" t="s">
        <v>152</v>
      </c>
      <c r="E52" s="294"/>
      <c r="F52" s="295"/>
      <c r="G52" s="140">
        <v>0.9778</v>
      </c>
      <c r="H52" s="141"/>
    </row>
    <row r="53" spans="1:8" ht="15.75">
      <c r="A53" s="134"/>
      <c r="B53" s="134"/>
      <c r="C53" s="135"/>
      <c r="D53" s="296" t="s">
        <v>153</v>
      </c>
      <c r="E53" s="297"/>
      <c r="F53" s="298"/>
      <c r="G53" s="107">
        <f>ROUNDDOWN(G51+G51*G52,2)</f>
        <v>157.74</v>
      </c>
      <c r="H53" s="143"/>
    </row>
    <row r="54" spans="1:8" ht="15.75">
      <c r="A54" s="134"/>
      <c r="B54" s="134"/>
      <c r="C54" s="135"/>
      <c r="D54" s="296" t="s">
        <v>154</v>
      </c>
      <c r="E54" s="297"/>
      <c r="F54" s="298"/>
      <c r="G54" s="107">
        <f>G48</f>
        <v>6781.99</v>
      </c>
      <c r="H54" s="143"/>
    </row>
    <row r="55" spans="1:8" ht="15.75">
      <c r="A55" s="134"/>
      <c r="B55" s="134"/>
      <c r="C55" s="135"/>
      <c r="D55" s="299" t="s">
        <v>189</v>
      </c>
      <c r="E55" s="300"/>
      <c r="F55" s="301"/>
      <c r="G55" s="144">
        <f>ROUNDUP(G53+G54,2)</f>
        <v>6939.73</v>
      </c>
      <c r="H55" s="145"/>
    </row>
    <row r="56" spans="1:8" ht="15.75">
      <c r="A56" s="278" t="s">
        <v>155</v>
      </c>
      <c r="B56" s="278"/>
      <c r="C56" s="278"/>
      <c r="D56" s="278"/>
      <c r="E56" s="278"/>
      <c r="F56" s="278"/>
      <c r="G56" s="278"/>
      <c r="H56" s="278"/>
    </row>
    <row r="57" spans="1:8" ht="15.75">
      <c r="A57" s="279" t="str">
        <f>ORÇAMENTO!A58</f>
        <v>Bianca Oliveira da Silva</v>
      </c>
      <c r="B57" s="279"/>
      <c r="C57" s="279"/>
      <c r="D57" s="279"/>
      <c r="E57" s="279"/>
      <c r="F57" s="279"/>
      <c r="G57" s="279"/>
      <c r="H57" s="279"/>
    </row>
    <row r="58" spans="1:8" ht="15.75">
      <c r="A58" s="278" t="str">
        <f>ORÇAMENTO!A59</f>
        <v>Engenheira Civil </v>
      </c>
      <c r="B58" s="278"/>
      <c r="C58" s="278"/>
      <c r="D58" s="278"/>
      <c r="E58" s="278"/>
      <c r="F58" s="278"/>
      <c r="G58" s="278"/>
      <c r="H58" s="278"/>
    </row>
    <row r="59" spans="1:8" ht="12.75">
      <c r="A59" s="280" t="str">
        <f>ORÇAMENTO!A60</f>
        <v>CREA nº 5070438158-SP</v>
      </c>
      <c r="B59" s="280"/>
      <c r="C59" s="280"/>
      <c r="D59" s="280"/>
      <c r="E59" s="280"/>
      <c r="F59" s="280"/>
      <c r="G59" s="280"/>
      <c r="H59" s="280"/>
    </row>
  </sheetData>
  <sheetProtection/>
  <mergeCells count="29">
    <mergeCell ref="A59:H59"/>
    <mergeCell ref="A1:H1"/>
    <mergeCell ref="A2:H2"/>
    <mergeCell ref="A3:H3"/>
    <mergeCell ref="A4:H4"/>
    <mergeCell ref="A5:H5"/>
    <mergeCell ref="A6:H6"/>
    <mergeCell ref="A7:H7"/>
    <mergeCell ref="A8:C8"/>
    <mergeCell ref="A10:H10"/>
    <mergeCell ref="A11:H11"/>
    <mergeCell ref="A13:H13"/>
    <mergeCell ref="B15:C15"/>
    <mergeCell ref="B16:C16"/>
    <mergeCell ref="B17:C17"/>
    <mergeCell ref="B18:C18"/>
    <mergeCell ref="A19:D19"/>
    <mergeCell ref="A20:D20"/>
    <mergeCell ref="A22:G22"/>
    <mergeCell ref="D55:F55"/>
    <mergeCell ref="A56:H56"/>
    <mergeCell ref="A57:H57"/>
    <mergeCell ref="A58:H58"/>
    <mergeCell ref="A24:G24"/>
    <mergeCell ref="A48:F48"/>
    <mergeCell ref="D51:F51"/>
    <mergeCell ref="D52:F52"/>
    <mergeCell ref="D53:F53"/>
    <mergeCell ref="D54:F54"/>
  </mergeCells>
  <printOptions horizontalCentered="1"/>
  <pageMargins left="0.2362204724409449" right="0.2362204724409449" top="0.7480314960629921" bottom="0.1968503937007874" header="0.31496062992125984" footer="0.31496062992125984"/>
  <pageSetup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0">
      <selection activeCell="S27" sqref="S27"/>
    </sheetView>
  </sheetViews>
  <sheetFormatPr defaultColWidth="9.140625" defaultRowHeight="12.75"/>
  <cols>
    <col min="1" max="1" width="6.421875" style="12" customWidth="1"/>
    <col min="2" max="2" width="31.00390625" style="12" customWidth="1"/>
    <col min="3" max="3" width="13.140625" style="12" bestFit="1" customWidth="1"/>
    <col min="4" max="11" width="3.7109375" style="12" customWidth="1"/>
    <col min="12" max="12" width="15.7109375" style="13" hidden="1" customWidth="1"/>
    <col min="13" max="15" width="3.7109375" style="13" customWidth="1"/>
    <col min="16" max="16" width="5.8515625" style="13" customWidth="1"/>
    <col min="17" max="17" width="14.00390625" style="12" hidden="1" customWidth="1"/>
    <col min="18" max="18" width="20.140625" style="12" hidden="1" customWidth="1"/>
    <col min="19" max="19" width="9.140625" style="12" customWidth="1"/>
    <col min="20" max="20" width="19.28125" style="12" bestFit="1" customWidth="1"/>
    <col min="21" max="24" width="9.140625" style="12" customWidth="1"/>
    <col min="25" max="25" width="14.28125" style="12" bestFit="1" customWidth="1"/>
    <col min="26" max="26" width="13.140625" style="12" bestFit="1" customWidth="1"/>
    <col min="27" max="16384" width="9.140625" style="12" customWidth="1"/>
  </cols>
  <sheetData>
    <row r="1" spans="1:17" ht="4.5" customHeight="1" thickBot="1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211"/>
    </row>
    <row r="2" spans="1:17" ht="15" customHeight="1">
      <c r="A2" s="321" t="s">
        <v>17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3"/>
    </row>
    <row r="3" spans="1:17" ht="15" customHeight="1">
      <c r="A3" s="324" t="s">
        <v>22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6"/>
    </row>
    <row r="4" spans="1:17" ht="15" customHeight="1">
      <c r="A4" s="327" t="s">
        <v>18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9"/>
    </row>
    <row r="5" spans="1:17" ht="15" customHeight="1">
      <c r="A5" s="327" t="s">
        <v>19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9"/>
    </row>
    <row r="6" spans="1:17" ht="15" customHeight="1">
      <c r="A6" s="327" t="s">
        <v>20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9"/>
    </row>
    <row r="7" spans="1:17" ht="15" customHeight="1">
      <c r="A7" s="212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213"/>
    </row>
    <row r="8" spans="1:17" ht="15" customHeight="1" thickBot="1">
      <c r="A8" s="318" t="s">
        <v>21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20"/>
    </row>
    <row r="9" spans="1:17" ht="12.75">
      <c r="A9" s="330" t="s">
        <v>38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"/>
    </row>
    <row r="10" spans="1:17" ht="12.75">
      <c r="A10" s="306" t="s">
        <v>39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3"/>
    </row>
    <row r="11" spans="1:23" ht="13.5" thickBot="1">
      <c r="A11" s="317" t="s">
        <v>177</v>
      </c>
      <c r="B11" s="317"/>
      <c r="C11" s="317"/>
      <c r="D11" s="331" t="s">
        <v>61</v>
      </c>
      <c r="E11" s="331"/>
      <c r="F11" s="331"/>
      <c r="G11" s="331"/>
      <c r="H11" s="331"/>
      <c r="I11" s="331"/>
      <c r="J11" s="331"/>
      <c r="K11" s="331"/>
      <c r="L11" s="52"/>
      <c r="M11" s="306" t="s">
        <v>56</v>
      </c>
      <c r="N11" s="306"/>
      <c r="O11" s="306"/>
      <c r="P11" s="306"/>
      <c r="Q11" s="34"/>
      <c r="R11" s="33"/>
      <c r="S11" s="33"/>
      <c r="T11" s="33"/>
      <c r="U11" s="33"/>
      <c r="V11" s="33"/>
      <c r="W11" s="33"/>
    </row>
    <row r="12" spans="1:18" ht="14.25" customHeight="1" thickBot="1" thickTop="1">
      <c r="A12" s="337" t="s">
        <v>11</v>
      </c>
      <c r="B12" s="337" t="s">
        <v>1</v>
      </c>
      <c r="C12" s="307" t="s">
        <v>2</v>
      </c>
      <c r="D12" s="307" t="s">
        <v>3</v>
      </c>
      <c r="E12" s="307"/>
      <c r="F12" s="307"/>
      <c r="G12" s="307"/>
      <c r="H12" s="307" t="s">
        <v>4</v>
      </c>
      <c r="I12" s="307"/>
      <c r="J12" s="307"/>
      <c r="K12" s="307"/>
      <c r="L12" s="335"/>
      <c r="M12" s="307" t="s">
        <v>5</v>
      </c>
      <c r="N12" s="307"/>
      <c r="O12" s="307"/>
      <c r="P12" s="307"/>
      <c r="Q12" s="316"/>
      <c r="R12" s="316"/>
    </row>
    <row r="13" spans="1:18" ht="14.25" thickBot="1" thickTop="1">
      <c r="A13" s="338"/>
      <c r="B13" s="338"/>
      <c r="C13" s="308"/>
      <c r="D13" s="308"/>
      <c r="E13" s="308"/>
      <c r="F13" s="308"/>
      <c r="G13" s="308"/>
      <c r="H13" s="308"/>
      <c r="I13" s="308"/>
      <c r="J13" s="308"/>
      <c r="K13" s="308"/>
      <c r="L13" s="336"/>
      <c r="M13" s="308"/>
      <c r="N13" s="308"/>
      <c r="O13" s="308"/>
      <c r="P13" s="308"/>
      <c r="Q13" s="316"/>
      <c r="R13" s="316"/>
    </row>
    <row r="14" spans="1:18" ht="14.25" thickBot="1" thickTop="1">
      <c r="A14" s="312">
        <f>ORÇAMENTO!A11</f>
        <v>1</v>
      </c>
      <c r="B14" s="313" t="str">
        <f>ORÇAMENTO!D11</f>
        <v>SERVIÇOS PRELIMINARES</v>
      </c>
      <c r="C14" s="310">
        <f>ORÇAMENTO!J18</f>
        <v>108844.46</v>
      </c>
      <c r="D14" s="39"/>
      <c r="E14" s="39"/>
      <c r="F14" s="39"/>
      <c r="G14" s="39"/>
      <c r="H14" s="40"/>
      <c r="I14" s="40"/>
      <c r="J14" s="40"/>
      <c r="K14" s="40"/>
      <c r="L14" s="37">
        <f>C14*H15</f>
        <v>0</v>
      </c>
      <c r="M14" s="40"/>
      <c r="N14" s="40"/>
      <c r="O14" s="40"/>
      <c r="P14" s="40"/>
      <c r="Q14" s="37">
        <f>C14*M15</f>
        <v>0</v>
      </c>
      <c r="R14" s="37" t="e">
        <f>C14*#REF!</f>
        <v>#REF!</v>
      </c>
    </row>
    <row r="15" spans="1:20" ht="14.25" thickBot="1" thickTop="1">
      <c r="A15" s="312"/>
      <c r="B15" s="313"/>
      <c r="C15" s="310"/>
      <c r="D15" s="311">
        <v>1</v>
      </c>
      <c r="E15" s="311"/>
      <c r="F15" s="311"/>
      <c r="G15" s="311"/>
      <c r="H15" s="311">
        <v>0</v>
      </c>
      <c r="I15" s="311"/>
      <c r="J15" s="311"/>
      <c r="K15" s="311"/>
      <c r="L15" s="26">
        <f>L14/C26</f>
        <v>0</v>
      </c>
      <c r="M15" s="311">
        <v>0</v>
      </c>
      <c r="N15" s="311"/>
      <c r="O15" s="311"/>
      <c r="P15" s="311"/>
      <c r="Q15" s="32">
        <f>Q14/C26</f>
        <v>0</v>
      </c>
      <c r="R15" s="32" t="e">
        <f>R14/C26</f>
        <v>#REF!</v>
      </c>
      <c r="T15" s="155"/>
    </row>
    <row r="16" spans="1:20" ht="14.25" thickBot="1" thickTop="1">
      <c r="A16" s="312">
        <f>ORÇAMENTO!A20</f>
        <v>2</v>
      </c>
      <c r="B16" s="313" t="str">
        <f>ORÇAMENTO!D20</f>
        <v>PISO</v>
      </c>
      <c r="C16" s="310">
        <f>ORÇAMENTO!J22</f>
        <v>251133.75</v>
      </c>
      <c r="D16" s="40"/>
      <c r="E16" s="40"/>
      <c r="F16" s="40"/>
      <c r="G16" s="40"/>
      <c r="H16" s="39"/>
      <c r="I16" s="39"/>
      <c r="J16" s="39"/>
      <c r="K16" s="39"/>
      <c r="L16" s="39"/>
      <c r="M16" s="39"/>
      <c r="N16" s="40"/>
      <c r="O16" s="40"/>
      <c r="P16" s="40"/>
      <c r="Q16" s="42">
        <f>C16*M17</f>
        <v>50226.75</v>
      </c>
      <c r="R16" s="37" t="e">
        <f>C16*#REF!</f>
        <v>#REF!</v>
      </c>
      <c r="T16" s="155"/>
    </row>
    <row r="17" spans="1:20" ht="14.25" thickBot="1" thickTop="1">
      <c r="A17" s="312"/>
      <c r="B17" s="313"/>
      <c r="C17" s="310"/>
      <c r="D17" s="311">
        <v>0</v>
      </c>
      <c r="E17" s="311"/>
      <c r="F17" s="311"/>
      <c r="G17" s="311"/>
      <c r="H17" s="311">
        <v>0.8</v>
      </c>
      <c r="I17" s="311"/>
      <c r="J17" s="311"/>
      <c r="K17" s="311"/>
      <c r="L17" s="26">
        <f>L16/C26</f>
        <v>0</v>
      </c>
      <c r="M17" s="311">
        <v>0.2</v>
      </c>
      <c r="N17" s="311"/>
      <c r="O17" s="311"/>
      <c r="P17" s="311"/>
      <c r="Q17" s="32">
        <f>Q16/C26</f>
        <v>0.0849</v>
      </c>
      <c r="R17" s="32" t="e">
        <f>R16/C26</f>
        <v>#REF!</v>
      </c>
      <c r="T17" s="155"/>
    </row>
    <row r="18" spans="1:20" ht="14.25" thickBot="1" thickTop="1">
      <c r="A18" s="312">
        <f>ORÇAMENTO!A24</f>
        <v>3</v>
      </c>
      <c r="B18" s="313" t="str">
        <f>ORÇAMENTO!D24</f>
        <v>MURETAS</v>
      </c>
      <c r="C18" s="310">
        <f>ORÇAMENTO!J30</f>
        <v>31715.7</v>
      </c>
      <c r="D18" s="40"/>
      <c r="E18" s="40"/>
      <c r="F18" s="40"/>
      <c r="G18" s="40"/>
      <c r="H18" s="40"/>
      <c r="I18" s="39"/>
      <c r="J18" s="39"/>
      <c r="K18" s="39"/>
      <c r="L18" s="39"/>
      <c r="M18" s="39"/>
      <c r="N18" s="39"/>
      <c r="O18" s="39"/>
      <c r="P18" s="40"/>
      <c r="Q18" s="40"/>
      <c r="R18" s="40"/>
      <c r="T18" s="155"/>
    </row>
    <row r="19" spans="1:20" ht="14.25" thickBot="1" thickTop="1">
      <c r="A19" s="312"/>
      <c r="B19" s="313"/>
      <c r="C19" s="310"/>
      <c r="D19" s="311">
        <v>0</v>
      </c>
      <c r="E19" s="311"/>
      <c r="F19" s="311"/>
      <c r="G19" s="311"/>
      <c r="H19" s="311">
        <v>0.5</v>
      </c>
      <c r="I19" s="311"/>
      <c r="J19" s="311"/>
      <c r="K19" s="311"/>
      <c r="L19" s="26">
        <f>K18/C26</f>
        <v>0</v>
      </c>
      <c r="M19" s="302">
        <v>0.5</v>
      </c>
      <c r="N19" s="302"/>
      <c r="O19" s="302"/>
      <c r="P19" s="302"/>
      <c r="Q19" s="32">
        <f>Q18/C26</f>
        <v>0</v>
      </c>
      <c r="R19" s="32">
        <f>R18/C26</f>
        <v>0</v>
      </c>
      <c r="T19" s="155"/>
    </row>
    <row r="20" spans="1:20" ht="14.25" thickBot="1" thickTop="1">
      <c r="A20" s="312">
        <f>ORÇAMENTO!A32</f>
        <v>4</v>
      </c>
      <c r="B20" s="313" t="str">
        <f>ORÇAMENTO!D32</f>
        <v>GUIAS E SARJETAS</v>
      </c>
      <c r="C20" s="310">
        <f>ORÇAMENTO!J34</f>
        <v>6938.1</v>
      </c>
      <c r="D20" s="40"/>
      <c r="E20" s="40"/>
      <c r="F20" s="40"/>
      <c r="G20" s="40"/>
      <c r="H20" s="39"/>
      <c r="I20" s="39"/>
      <c r="J20" s="39"/>
      <c r="K20" s="39"/>
      <c r="L20" s="37">
        <f>C20*H21</f>
        <v>6938.1</v>
      </c>
      <c r="M20" s="40"/>
      <c r="N20" s="40"/>
      <c r="O20" s="40"/>
      <c r="P20" s="40"/>
      <c r="Q20" s="40"/>
      <c r="R20" s="40"/>
      <c r="T20" s="155"/>
    </row>
    <row r="21" spans="1:20" ht="14.25" thickBot="1" thickTop="1">
      <c r="A21" s="312"/>
      <c r="B21" s="313"/>
      <c r="C21" s="310"/>
      <c r="D21" s="311">
        <v>0</v>
      </c>
      <c r="E21" s="311"/>
      <c r="F21" s="311"/>
      <c r="G21" s="311"/>
      <c r="H21" s="311">
        <v>1</v>
      </c>
      <c r="I21" s="311"/>
      <c r="J21" s="311"/>
      <c r="K21" s="311"/>
      <c r="L21" s="26">
        <f>L20/C26</f>
        <v>0.0117</v>
      </c>
      <c r="M21" s="302">
        <v>0</v>
      </c>
      <c r="N21" s="302"/>
      <c r="O21" s="302"/>
      <c r="P21" s="302"/>
      <c r="Q21" s="32">
        <f>Q20/C26</f>
        <v>0</v>
      </c>
      <c r="R21" s="32">
        <f>R20/C26</f>
        <v>0</v>
      </c>
      <c r="T21" s="155"/>
    </row>
    <row r="22" spans="1:20" ht="14.25" thickBot="1" thickTop="1">
      <c r="A22" s="312">
        <f>ORÇAMENTO!A36</f>
        <v>5</v>
      </c>
      <c r="B22" s="313" t="str">
        <f>ORÇAMENTO!D36</f>
        <v>PINTURA</v>
      </c>
      <c r="C22" s="310">
        <f>ORÇAMENTO!J39</f>
        <v>10506.56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37">
        <f>C22*M23</f>
        <v>10506.56</v>
      </c>
      <c r="R22" s="37" t="e">
        <f>C22*#REF!</f>
        <v>#REF!</v>
      </c>
      <c r="T22" s="155"/>
    </row>
    <row r="23" spans="1:20" ht="14.25" thickBot="1" thickTop="1">
      <c r="A23" s="312"/>
      <c r="B23" s="313"/>
      <c r="C23" s="310"/>
      <c r="D23" s="311">
        <v>0</v>
      </c>
      <c r="E23" s="311"/>
      <c r="F23" s="311"/>
      <c r="G23" s="311"/>
      <c r="H23" s="311">
        <v>0</v>
      </c>
      <c r="I23" s="311"/>
      <c r="J23" s="311"/>
      <c r="K23" s="311"/>
      <c r="L23" s="26" t="e">
        <f>L22/C28</f>
        <v>#DIV/0!</v>
      </c>
      <c r="M23" s="302">
        <v>1</v>
      </c>
      <c r="N23" s="302"/>
      <c r="O23" s="302"/>
      <c r="P23" s="302"/>
      <c r="Q23" s="32" t="e">
        <f>Q22/C28</f>
        <v>#DIV/0!</v>
      </c>
      <c r="R23" s="32" t="e">
        <f>R22/C28</f>
        <v>#REF!</v>
      </c>
      <c r="T23" s="155"/>
    </row>
    <row r="24" spans="1:20" ht="14.25" thickBot="1" thickTop="1">
      <c r="A24" s="312">
        <f>ORÇAMENTO!A41</f>
        <v>6</v>
      </c>
      <c r="B24" s="313" t="str">
        <f>ORÇAMENTO!D41</f>
        <v>ÉLETRICA</v>
      </c>
      <c r="C24" s="310">
        <f>ORÇAMENTO!J45</f>
        <v>182172.63</v>
      </c>
      <c r="D24" s="40"/>
      <c r="E24" s="40"/>
      <c r="F24" s="40"/>
      <c r="G24" s="41"/>
      <c r="H24" s="41"/>
      <c r="I24" s="41"/>
      <c r="J24" s="41"/>
      <c r="K24" s="41"/>
      <c r="L24" s="37">
        <f>C24*H25</f>
        <v>145738.1</v>
      </c>
      <c r="M24" s="40"/>
      <c r="N24" s="40"/>
      <c r="O24" s="40"/>
      <c r="P24" s="40"/>
      <c r="Q24" s="37">
        <f>C24*M25</f>
        <v>0</v>
      </c>
      <c r="R24" s="37" t="e">
        <f>C24*#REF!</f>
        <v>#REF!</v>
      </c>
      <c r="T24" s="155"/>
    </row>
    <row r="25" spans="1:20" ht="14.25" thickBot="1" thickTop="1">
      <c r="A25" s="312"/>
      <c r="B25" s="313"/>
      <c r="C25" s="310"/>
      <c r="D25" s="311">
        <v>0.2</v>
      </c>
      <c r="E25" s="311"/>
      <c r="F25" s="311"/>
      <c r="G25" s="311"/>
      <c r="H25" s="311">
        <v>0.8</v>
      </c>
      <c r="I25" s="311"/>
      <c r="J25" s="311"/>
      <c r="K25" s="311"/>
      <c r="L25" s="26" t="e">
        <f>L24/C30</f>
        <v>#DIV/0!</v>
      </c>
      <c r="M25" s="302">
        <v>0</v>
      </c>
      <c r="N25" s="302"/>
      <c r="O25" s="302"/>
      <c r="P25" s="302"/>
      <c r="Q25" s="32" t="e">
        <f>Q24/C30</f>
        <v>#DIV/0!</v>
      </c>
      <c r="R25" s="32" t="e">
        <f>R24/C30</f>
        <v>#REF!</v>
      </c>
      <c r="T25" s="155"/>
    </row>
    <row r="26" spans="1:25" ht="14.25" thickBot="1" thickTop="1">
      <c r="A26" s="24"/>
      <c r="B26" s="25" t="s">
        <v>29</v>
      </c>
      <c r="C26" s="49">
        <f>SUM(C14:C25)</f>
        <v>591311.2</v>
      </c>
      <c r="D26" s="342">
        <f>ROUNDDOWN(D15*C14+D17*C16+D19*C18+D21*C20+D23*C22+D25*C24,2)</f>
        <v>145278.98</v>
      </c>
      <c r="E26" s="342"/>
      <c r="F26" s="342"/>
      <c r="G26" s="342"/>
      <c r="H26" s="342">
        <f>ROUNDUP(H15*C14+H17*C16+H19*C18+H21*C20+H23*C22+H25*C24,2)</f>
        <v>369441.06</v>
      </c>
      <c r="I26" s="342"/>
      <c r="J26" s="342"/>
      <c r="K26" s="342"/>
      <c r="L26" s="28"/>
      <c r="M26" s="343">
        <f>ROUNDDOWN(M15*C14+M17*C16+M19*C18+M21*C20+M23*C22+M25*C24,2)</f>
        <v>76591.16</v>
      </c>
      <c r="N26" s="343"/>
      <c r="O26" s="343"/>
      <c r="P26" s="343"/>
      <c r="Q26" s="32"/>
      <c r="R26" s="32"/>
      <c r="T26" s="155"/>
      <c r="Y26" s="53"/>
    </row>
    <row r="27" spans="1:25" ht="14.25" thickBot="1" thickTop="1">
      <c r="A27" s="333" t="s">
        <v>6</v>
      </c>
      <c r="B27" s="183" t="s">
        <v>7</v>
      </c>
      <c r="C27" s="184"/>
      <c r="D27" s="315">
        <f>ROUNDUP(D26/C26,4)</f>
        <v>0.2457</v>
      </c>
      <c r="E27" s="315"/>
      <c r="F27" s="315"/>
      <c r="G27" s="315"/>
      <c r="H27" s="315">
        <f>ROUNDUP(H26/C26,4)</f>
        <v>0.6248</v>
      </c>
      <c r="I27" s="315"/>
      <c r="J27" s="315"/>
      <c r="K27" s="315"/>
      <c r="L27" s="185"/>
      <c r="M27" s="332">
        <f>ROUNDDOWN(M26/C26,4)</f>
        <v>0.1295</v>
      </c>
      <c r="N27" s="332"/>
      <c r="O27" s="332"/>
      <c r="P27" s="332"/>
      <c r="Q27" s="35"/>
      <c r="R27" s="35"/>
      <c r="X27" s="12">
        <v>1</v>
      </c>
      <c r="Y27" s="152">
        <f>D30</f>
        <v>145278.98</v>
      </c>
    </row>
    <row r="28" spans="1:26" ht="14.25" thickBot="1" thickTop="1">
      <c r="A28" s="333"/>
      <c r="B28" s="25" t="s">
        <v>8</v>
      </c>
      <c r="C28" s="27"/>
      <c r="D28" s="311">
        <f>D27</f>
        <v>0.2457</v>
      </c>
      <c r="E28" s="311"/>
      <c r="F28" s="311"/>
      <c r="G28" s="311"/>
      <c r="H28" s="311">
        <f>H27+D28</f>
        <v>0.8705</v>
      </c>
      <c r="I28" s="311"/>
      <c r="J28" s="311"/>
      <c r="K28" s="311"/>
      <c r="L28" s="26"/>
      <c r="M28" s="302">
        <f>ROUNDUP(M27+H28,2)</f>
        <v>1</v>
      </c>
      <c r="N28" s="302"/>
      <c r="O28" s="302"/>
      <c r="P28" s="302"/>
      <c r="Q28" s="32"/>
      <c r="R28" s="32"/>
      <c r="X28" s="12">
        <v>2</v>
      </c>
      <c r="Y28" s="152">
        <f>H30</f>
        <v>514720.04</v>
      </c>
      <c r="Z28" s="57"/>
    </row>
    <row r="29" spans="1:26" ht="14.25" thickBot="1" thickTop="1">
      <c r="A29" s="333"/>
      <c r="B29" s="186" t="s">
        <v>9</v>
      </c>
      <c r="C29" s="184"/>
      <c r="D29" s="345">
        <f>D26</f>
        <v>145278.98</v>
      </c>
      <c r="E29" s="345"/>
      <c r="F29" s="345"/>
      <c r="G29" s="345"/>
      <c r="H29" s="345">
        <f>H26</f>
        <v>369441.06</v>
      </c>
      <c r="I29" s="345"/>
      <c r="J29" s="345"/>
      <c r="K29" s="345"/>
      <c r="L29" s="187"/>
      <c r="M29" s="344">
        <f>M26</f>
        <v>76591.16</v>
      </c>
      <c r="N29" s="344"/>
      <c r="O29" s="344"/>
      <c r="P29" s="344"/>
      <c r="Q29" s="43"/>
      <c r="R29" s="36"/>
      <c r="X29" s="12">
        <v>3</v>
      </c>
      <c r="Y29" s="152">
        <f>M30</f>
        <v>591311.2</v>
      </c>
      <c r="Z29" s="57"/>
    </row>
    <row r="30" spans="1:26" ht="14.25" thickBot="1" thickTop="1">
      <c r="A30" s="333"/>
      <c r="B30" s="29" t="s">
        <v>10</v>
      </c>
      <c r="C30" s="27"/>
      <c r="D30" s="310">
        <f>D29</f>
        <v>145278.98</v>
      </c>
      <c r="E30" s="310"/>
      <c r="F30" s="310"/>
      <c r="G30" s="310"/>
      <c r="H30" s="310">
        <f>D30+H29</f>
        <v>514720.04</v>
      </c>
      <c r="I30" s="310"/>
      <c r="J30" s="310"/>
      <c r="K30" s="310"/>
      <c r="L30" s="56"/>
      <c r="M30" s="339">
        <f>H30+M29</f>
        <v>591311.2</v>
      </c>
      <c r="N30" s="339"/>
      <c r="O30" s="339"/>
      <c r="P30" s="339"/>
      <c r="Q30" s="44"/>
      <c r="R30" s="38"/>
      <c r="Y30" s="53"/>
      <c r="Z30" s="57"/>
    </row>
    <row r="31" spans="1:25" ht="19.5" customHeight="1" thickBot="1" thickTop="1">
      <c r="A31" s="334"/>
      <c r="B31" s="188" t="s">
        <v>34</v>
      </c>
      <c r="C31" s="189"/>
      <c r="D31" s="304">
        <f>D30</f>
        <v>145278.98</v>
      </c>
      <c r="E31" s="304"/>
      <c r="F31" s="304"/>
      <c r="G31" s="304"/>
      <c r="H31" s="304">
        <f>H30</f>
        <v>514720.04</v>
      </c>
      <c r="I31" s="304"/>
      <c r="J31" s="304"/>
      <c r="K31" s="304"/>
      <c r="L31" s="185"/>
      <c r="M31" s="309">
        <f>M30</f>
        <v>591311.2</v>
      </c>
      <c r="N31" s="309"/>
      <c r="O31" s="309"/>
      <c r="P31" s="309"/>
      <c r="Q31" s="35"/>
      <c r="R31" s="35"/>
      <c r="Y31" s="53"/>
    </row>
    <row r="32" spans="1:25" ht="13.5" thickTop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6"/>
      <c r="N32" s="16"/>
      <c r="O32" s="16"/>
      <c r="P32" s="16"/>
      <c r="Q32" s="17"/>
      <c r="Y32" s="53"/>
    </row>
    <row r="33" spans="1:25" ht="12.75" customHeight="1">
      <c r="A33" s="225" t="str">
        <f>ORÇAMENTO!A56</f>
        <v>Itatinga, 24 de março de 2023.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Y33" s="53"/>
    </row>
    <row r="34" spans="1:17" ht="15.75">
      <c r="A34" s="23"/>
      <c r="B34" s="23"/>
      <c r="C34" s="23"/>
      <c r="D34" s="30"/>
      <c r="E34" s="23"/>
      <c r="F34" s="31"/>
      <c r="G34" s="303"/>
      <c r="H34" s="303"/>
      <c r="I34" s="314"/>
      <c r="J34" s="314"/>
      <c r="K34" s="14"/>
      <c r="L34" s="15"/>
      <c r="M34" s="16"/>
      <c r="N34" s="16"/>
      <c r="O34" s="16"/>
      <c r="P34" s="16"/>
      <c r="Q34" s="17"/>
    </row>
    <row r="35" spans="1:17" ht="15">
      <c r="A35" s="214" t="s">
        <v>35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ht="15">
      <c r="A36" s="305" t="str">
        <f>ORÇAMENTO!A58</f>
        <v>Bianca Oliveira da Silva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</row>
    <row r="37" spans="1:17" ht="15">
      <c r="A37" s="305" t="str">
        <f>ORÇAMENTO!A59</f>
        <v>Engenheira Civil 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</row>
    <row r="38" spans="1:17" ht="15">
      <c r="A38" s="305" t="str">
        <f>ORÇAMENTO!A60</f>
        <v>CREA nº 5070438158-SP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6"/>
      <c r="N39" s="16"/>
      <c r="O39" s="16"/>
      <c r="P39" s="16"/>
      <c r="Q39" s="17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6"/>
      <c r="N40" s="16"/>
      <c r="O40" s="16"/>
      <c r="P40" s="16"/>
      <c r="Q40" s="17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6"/>
      <c r="N41" s="16"/>
      <c r="O41" s="16"/>
      <c r="P41" s="16"/>
      <c r="Q41" s="17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6"/>
      <c r="N42" s="16"/>
      <c r="O42" s="16"/>
      <c r="P42" s="16"/>
      <c r="Q42" s="17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  <c r="M43" s="16"/>
      <c r="N43" s="16"/>
      <c r="O43" s="16"/>
      <c r="P43" s="16"/>
      <c r="Q43" s="17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6"/>
      <c r="N44" s="16"/>
      <c r="O44" s="16"/>
      <c r="P44" s="16"/>
      <c r="Q44" s="17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  <c r="M45" s="16"/>
      <c r="N45" s="16"/>
      <c r="O45" s="16"/>
      <c r="P45" s="16"/>
      <c r="Q45" s="17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  <c r="M46" s="16"/>
      <c r="N46" s="16"/>
      <c r="O46" s="16"/>
      <c r="P46" s="16"/>
      <c r="Q46" s="17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  <c r="M47" s="16"/>
      <c r="N47" s="16"/>
      <c r="O47" s="16"/>
      <c r="P47" s="16"/>
      <c r="Q47" s="17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  <c r="M48" s="16"/>
      <c r="N48" s="16"/>
      <c r="O48" s="16"/>
      <c r="P48" s="16"/>
      <c r="Q48" s="17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6"/>
      <c r="N49" s="16"/>
      <c r="O49" s="16"/>
      <c r="P49" s="16"/>
      <c r="Q49" s="17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  <c r="M50" s="16"/>
      <c r="N50" s="16"/>
      <c r="O50" s="16"/>
      <c r="P50" s="16"/>
      <c r="Q50" s="17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  <c r="M51" s="16"/>
      <c r="N51" s="16"/>
      <c r="O51" s="16"/>
      <c r="P51" s="16"/>
      <c r="Q51" s="17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/>
      <c r="M52" s="16"/>
      <c r="N52" s="16"/>
      <c r="O52" s="16"/>
      <c r="P52" s="16"/>
      <c r="Q52" s="17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  <c r="M53" s="16"/>
      <c r="N53" s="16"/>
      <c r="O53" s="16"/>
      <c r="P53" s="16"/>
      <c r="Q53" s="17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  <c r="M54" s="16"/>
      <c r="N54" s="16"/>
      <c r="O54" s="16"/>
      <c r="P54" s="16"/>
      <c r="Q54" s="17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  <c r="M55" s="16"/>
      <c r="N55" s="16"/>
      <c r="O55" s="16"/>
      <c r="P55" s="16"/>
      <c r="Q55" s="17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  <c r="M56" s="16"/>
      <c r="N56" s="16"/>
      <c r="O56" s="16"/>
      <c r="P56" s="16"/>
      <c r="Q56" s="17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  <c r="M57" s="16"/>
      <c r="N57" s="16"/>
      <c r="O57" s="16"/>
      <c r="P57" s="16"/>
      <c r="Q57" s="17"/>
    </row>
    <row r="58" spans="1:17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6"/>
      <c r="N58" s="16"/>
      <c r="O58" s="16"/>
      <c r="P58" s="16"/>
      <c r="Q58" s="17"/>
    </row>
    <row r="59" spans="1:17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/>
      <c r="M59" s="16"/>
      <c r="N59" s="16"/>
      <c r="O59" s="16"/>
      <c r="P59" s="16"/>
      <c r="Q59" s="17"/>
    </row>
    <row r="60" spans="1:17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6"/>
      <c r="N60" s="16"/>
      <c r="O60" s="16"/>
      <c r="P60" s="16"/>
      <c r="Q60" s="17"/>
    </row>
  </sheetData>
  <sheetProtection/>
  <mergeCells count="83">
    <mergeCell ref="A24:A25"/>
    <mergeCell ref="B24:B25"/>
    <mergeCell ref="C24:C25"/>
    <mergeCell ref="D25:G25"/>
    <mergeCell ref="H25:K25"/>
    <mergeCell ref="M25:P25"/>
    <mergeCell ref="D28:G28"/>
    <mergeCell ref="M29:P29"/>
    <mergeCell ref="H29:K29"/>
    <mergeCell ref="M19:P19"/>
    <mergeCell ref="D29:G29"/>
    <mergeCell ref="H23:K23"/>
    <mergeCell ref="M23:P23"/>
    <mergeCell ref="H21:K21"/>
    <mergeCell ref="H28:K28"/>
    <mergeCell ref="M28:P28"/>
    <mergeCell ref="A1:P1"/>
    <mergeCell ref="D26:G26"/>
    <mergeCell ref="H26:K26"/>
    <mergeCell ref="M26:P26"/>
    <mergeCell ref="B16:B17"/>
    <mergeCell ref="B22:B23"/>
    <mergeCell ref="C22:C23"/>
    <mergeCell ref="D23:G23"/>
    <mergeCell ref="A22:A23"/>
    <mergeCell ref="A14:A15"/>
    <mergeCell ref="A35:Q35"/>
    <mergeCell ref="L12:L13"/>
    <mergeCell ref="M12:P13"/>
    <mergeCell ref="Q12:Q13"/>
    <mergeCell ref="A12:A13"/>
    <mergeCell ref="B12:B13"/>
    <mergeCell ref="H30:K30"/>
    <mergeCell ref="M30:P30"/>
    <mergeCell ref="H31:K31"/>
    <mergeCell ref="H27:K27"/>
    <mergeCell ref="M27:P27"/>
    <mergeCell ref="A16:A17"/>
    <mergeCell ref="H19:K19"/>
    <mergeCell ref="C16:C17"/>
    <mergeCell ref="A18:A19"/>
    <mergeCell ref="D19:G19"/>
    <mergeCell ref="C18:C19"/>
    <mergeCell ref="B18:B19"/>
    <mergeCell ref="A27:A31"/>
    <mergeCell ref="M17:P17"/>
    <mergeCell ref="A9:P9"/>
    <mergeCell ref="A10:P10"/>
    <mergeCell ref="D11:K11"/>
    <mergeCell ref="C12:C13"/>
    <mergeCell ref="D12:G13"/>
    <mergeCell ref="D15:G15"/>
    <mergeCell ref="H15:K15"/>
    <mergeCell ref="R12:R13"/>
    <mergeCell ref="B14:B15"/>
    <mergeCell ref="C14:C15"/>
    <mergeCell ref="A11:C11"/>
    <mergeCell ref="A8:Q8"/>
    <mergeCell ref="A2:Q2"/>
    <mergeCell ref="A3:Q3"/>
    <mergeCell ref="A4:Q4"/>
    <mergeCell ref="A5:Q5"/>
    <mergeCell ref="A6:Q6"/>
    <mergeCell ref="A38:Q38"/>
    <mergeCell ref="A20:A21"/>
    <mergeCell ref="B20:B21"/>
    <mergeCell ref="C20:C21"/>
    <mergeCell ref="D21:G21"/>
    <mergeCell ref="H17:K17"/>
    <mergeCell ref="D17:G17"/>
    <mergeCell ref="I34:J34"/>
    <mergeCell ref="A33:Q33"/>
    <mergeCell ref="D27:G27"/>
    <mergeCell ref="M21:P21"/>
    <mergeCell ref="G34:H34"/>
    <mergeCell ref="D31:G31"/>
    <mergeCell ref="A36:Q36"/>
    <mergeCell ref="A37:Q37"/>
    <mergeCell ref="M11:P11"/>
    <mergeCell ref="H12:K13"/>
    <mergeCell ref="M31:P31"/>
    <mergeCell ref="D30:G30"/>
    <mergeCell ref="M15:P1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Licitacao02</cp:lastModifiedBy>
  <cp:lastPrinted>2023-03-24T13:22:50Z</cp:lastPrinted>
  <dcterms:created xsi:type="dcterms:W3CDTF">2014-02-11T20:24:00Z</dcterms:created>
  <dcterms:modified xsi:type="dcterms:W3CDTF">2023-07-13T16:40:18Z</dcterms:modified>
  <cp:category/>
  <cp:version/>
  <cp:contentType/>
  <cp:contentStatus/>
</cp:coreProperties>
</file>